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37c6fabd0cd2828/Documents/"/>
    </mc:Choice>
  </mc:AlternateContent>
  <xr:revisionPtr revIDLastSave="22" documentId="8_{EB92B052-66D0-46CC-BE30-5CBCC98CBA85}" xr6:coauthVersionLast="47" xr6:coauthVersionMax="47" xr10:uidLastSave="{B5D145D7-77D7-4FFE-9B4E-11E656B76993}"/>
  <bookViews>
    <workbookView xWindow="-108" yWindow="-108" windowWidth="23256" windowHeight="12456" xr2:uid="{4C3BA659-980A-4188-9973-BD7378881E70}"/>
  </bookViews>
  <sheets>
    <sheet name="Q1" sheetId="1" r:id="rId1"/>
    <sheet name="Q2" sheetId="2" r:id="rId2"/>
    <sheet name="Q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20" i="2" l="1"/>
  <c r="L20" i="2"/>
  <c r="V19" i="2"/>
  <c r="V18" i="2"/>
  <c r="V17" i="2"/>
  <c r="V16" i="2"/>
  <c r="V15" i="2"/>
  <c r="V14" i="2"/>
  <c r="L14" i="2"/>
  <c r="V13" i="2"/>
  <c r="V12" i="2"/>
  <c r="N11" i="2"/>
  <c r="N12" i="2"/>
  <c r="N13" i="2"/>
  <c r="N14" i="2"/>
  <c r="N15" i="2"/>
  <c r="N16" i="2"/>
  <c r="N17" i="2"/>
  <c r="N18" i="2"/>
  <c r="N19" i="2"/>
  <c r="N20" i="2"/>
  <c r="I12" i="2"/>
  <c r="I13" i="2"/>
  <c r="I14" i="2"/>
  <c r="I15" i="2"/>
  <c r="I16" i="2"/>
  <c r="I17" i="2"/>
  <c r="I18" i="2"/>
  <c r="I19" i="2"/>
  <c r="I20" i="2"/>
  <c r="G5" i="2"/>
  <c r="G6" i="2"/>
  <c r="D10" i="2"/>
  <c r="D11" i="2"/>
  <c r="D12" i="2"/>
  <c r="D13" i="2"/>
  <c r="W11" i="2"/>
  <c r="W12" i="2"/>
  <c r="W13" i="2"/>
  <c r="W14" i="2"/>
  <c r="W15" i="2"/>
  <c r="W16" i="2"/>
  <c r="W17" i="2"/>
  <c r="W18" i="2"/>
  <c r="W19" i="2"/>
  <c r="W20" i="2"/>
  <c r="V11" i="2"/>
  <c r="O11" i="2"/>
  <c r="P11" i="2"/>
  <c r="M11" i="2"/>
  <c r="M12" i="2"/>
  <c r="M13" i="2"/>
  <c r="M14" i="2"/>
  <c r="M15" i="2"/>
  <c r="M16" i="2"/>
  <c r="M17" i="2"/>
  <c r="M18" i="2"/>
  <c r="M19" i="2"/>
  <c r="M20" i="2"/>
  <c r="H11" i="2"/>
  <c r="J11" i="2"/>
  <c r="H12" i="2"/>
  <c r="G11" i="2"/>
  <c r="G12" i="2"/>
  <c r="G13" i="2"/>
  <c r="G14" i="2"/>
  <c r="G15" i="2"/>
  <c r="G16" i="2"/>
  <c r="G17" i="2"/>
  <c r="G18" i="2"/>
  <c r="G19" i="2"/>
  <c r="G20" i="2"/>
  <c r="F11" i="2"/>
  <c r="F12" i="2"/>
  <c r="V10" i="2"/>
  <c r="P10" i="2"/>
  <c r="H5" i="2"/>
  <c r="H6" i="2"/>
  <c r="E10" i="2"/>
  <c r="R10" i="2"/>
  <c r="V20" i="3"/>
  <c r="L20" i="3"/>
  <c r="V19" i="3"/>
  <c r="V18" i="3"/>
  <c r="V17" i="3"/>
  <c r="V16" i="3"/>
  <c r="V15" i="3"/>
  <c r="V14" i="3"/>
  <c r="L14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V13" i="3"/>
  <c r="V12" i="3"/>
  <c r="O11" i="3"/>
  <c r="O12" i="3"/>
  <c r="O13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F11" i="3"/>
  <c r="F12" i="3"/>
  <c r="F13" i="3"/>
  <c r="F14" i="3"/>
  <c r="F15" i="3"/>
  <c r="F16" i="3"/>
  <c r="F17" i="3"/>
  <c r="F18" i="3"/>
  <c r="F19" i="3"/>
  <c r="F20" i="3"/>
  <c r="F21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V11" i="3"/>
  <c r="P11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H11" i="3"/>
  <c r="J11" i="3"/>
  <c r="H12" i="3"/>
  <c r="G11" i="3"/>
  <c r="G12" i="3"/>
  <c r="G13" i="3"/>
  <c r="G14" i="3"/>
  <c r="G15" i="3"/>
  <c r="G16" i="3"/>
  <c r="G17" i="3"/>
  <c r="G18" i="3"/>
  <c r="G19" i="3"/>
  <c r="G20" i="3"/>
  <c r="V10" i="3"/>
  <c r="P10" i="3"/>
  <c r="H5" i="3"/>
  <c r="H6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G5" i="3"/>
  <c r="G6" i="3"/>
  <c r="D10" i="3"/>
  <c r="R10" i="3"/>
  <c r="G5" i="1"/>
  <c r="G6" i="1"/>
  <c r="D10" i="1"/>
  <c r="D11" i="1"/>
  <c r="D12" i="1"/>
  <c r="D13" i="1"/>
  <c r="D14" i="1"/>
  <c r="G11" i="1"/>
  <c r="G12" i="1"/>
  <c r="G13" i="1"/>
  <c r="G14" i="1"/>
  <c r="H5" i="1"/>
  <c r="H6" i="1"/>
  <c r="E10" i="1"/>
  <c r="E11" i="1"/>
  <c r="E12" i="1"/>
  <c r="E13" i="1"/>
  <c r="E14" i="1"/>
  <c r="H11" i="1"/>
  <c r="H12" i="1"/>
  <c r="H13" i="1"/>
  <c r="H14" i="1"/>
  <c r="I12" i="1"/>
  <c r="I13" i="1"/>
  <c r="I14" i="1"/>
  <c r="J14" i="1"/>
  <c r="M11" i="1"/>
  <c r="M12" i="1"/>
  <c r="M13" i="1"/>
  <c r="M14" i="1"/>
  <c r="O11" i="1"/>
  <c r="O12" i="1"/>
  <c r="O13" i="1"/>
  <c r="O14" i="1"/>
  <c r="P14" i="1"/>
  <c r="F11" i="1"/>
  <c r="F12" i="1"/>
  <c r="F13" i="1"/>
  <c r="F14" i="1"/>
  <c r="R14" i="1"/>
  <c r="T14" i="1"/>
  <c r="V14" i="1"/>
  <c r="L14" i="1"/>
  <c r="AA14" i="1"/>
  <c r="J13" i="1"/>
  <c r="P13" i="1"/>
  <c r="R13" i="1"/>
  <c r="T13" i="1"/>
  <c r="V13" i="1"/>
  <c r="AA13" i="1"/>
  <c r="P10" i="1"/>
  <c r="R10" i="1"/>
  <c r="T10" i="1"/>
  <c r="V10" i="1"/>
  <c r="AA10" i="1"/>
  <c r="J11" i="1"/>
  <c r="P11" i="1"/>
  <c r="R11" i="1"/>
  <c r="T11" i="1"/>
  <c r="V11" i="1"/>
  <c r="AA11" i="1"/>
  <c r="J12" i="1"/>
  <c r="P12" i="1"/>
  <c r="R12" i="1"/>
  <c r="T12" i="1"/>
  <c r="V12" i="1"/>
  <c r="AA12" i="1"/>
  <c r="D15" i="1"/>
  <c r="G15" i="1"/>
  <c r="E15" i="1"/>
  <c r="H15" i="1"/>
  <c r="I15" i="1"/>
  <c r="J15" i="1"/>
  <c r="M15" i="1"/>
  <c r="O15" i="1"/>
  <c r="P15" i="1"/>
  <c r="F15" i="1"/>
  <c r="R15" i="1"/>
  <c r="T15" i="1"/>
  <c r="V15" i="1"/>
  <c r="AA15" i="1"/>
  <c r="D16" i="1"/>
  <c r="G16" i="1"/>
  <c r="E16" i="1"/>
  <c r="H16" i="1"/>
  <c r="I16" i="1"/>
  <c r="J16" i="1"/>
  <c r="M16" i="1"/>
  <c r="O16" i="1"/>
  <c r="P16" i="1"/>
  <c r="F16" i="1"/>
  <c r="R16" i="1"/>
  <c r="T16" i="1"/>
  <c r="V16" i="1"/>
  <c r="AA16" i="1"/>
  <c r="D17" i="1"/>
  <c r="G17" i="1"/>
  <c r="E17" i="1"/>
  <c r="H17" i="1"/>
  <c r="I17" i="1"/>
  <c r="J17" i="1"/>
  <c r="M17" i="1"/>
  <c r="O17" i="1"/>
  <c r="P17" i="1"/>
  <c r="F17" i="1"/>
  <c r="R17" i="1"/>
  <c r="T17" i="1"/>
  <c r="V17" i="1"/>
  <c r="AA17" i="1"/>
  <c r="D18" i="1"/>
  <c r="G18" i="1"/>
  <c r="E18" i="1"/>
  <c r="H18" i="1"/>
  <c r="I18" i="1"/>
  <c r="J18" i="1"/>
  <c r="M18" i="1"/>
  <c r="O18" i="1"/>
  <c r="P18" i="1"/>
  <c r="F18" i="1"/>
  <c r="R18" i="1"/>
  <c r="T18" i="1"/>
  <c r="V18" i="1"/>
  <c r="AA18" i="1"/>
  <c r="Z18" i="1"/>
  <c r="AB18" i="1"/>
  <c r="D19" i="1"/>
  <c r="G19" i="1"/>
  <c r="E19" i="1"/>
  <c r="H19" i="1"/>
  <c r="I19" i="1"/>
  <c r="J19" i="1"/>
  <c r="M19" i="1"/>
  <c r="O19" i="1"/>
  <c r="P19" i="1"/>
  <c r="F19" i="1"/>
  <c r="R19" i="1"/>
  <c r="T19" i="1"/>
  <c r="V19" i="1"/>
  <c r="AA19" i="1"/>
  <c r="D20" i="1"/>
  <c r="G20" i="1"/>
  <c r="E20" i="1"/>
  <c r="H20" i="1"/>
  <c r="I20" i="1"/>
  <c r="J20" i="1"/>
  <c r="M20" i="1"/>
  <c r="O20" i="1"/>
  <c r="P20" i="1"/>
  <c r="F20" i="1"/>
  <c r="R20" i="1"/>
  <c r="T20" i="1"/>
  <c r="V20" i="1"/>
  <c r="AA20" i="1"/>
  <c r="Z10" i="1"/>
  <c r="AB10" i="1"/>
  <c r="Z12" i="1"/>
  <c r="AB12" i="1"/>
  <c r="Z11" i="1"/>
  <c r="Z13" i="1"/>
  <c r="Z14" i="1"/>
  <c r="Z15" i="1"/>
  <c r="Z16" i="1"/>
  <c r="Z17" i="1"/>
  <c r="Z19" i="1"/>
  <c r="Z20" i="1"/>
  <c r="S11" i="1"/>
  <c r="W11" i="1"/>
  <c r="X11" i="1"/>
  <c r="S12" i="1"/>
  <c r="W12" i="1"/>
  <c r="X12" i="1"/>
  <c r="S13" i="1"/>
  <c r="W13" i="1"/>
  <c r="X13" i="1"/>
  <c r="S14" i="1"/>
  <c r="W14" i="1"/>
  <c r="X14" i="1"/>
  <c r="S15" i="1"/>
  <c r="W15" i="1"/>
  <c r="X15" i="1"/>
  <c r="S16" i="1"/>
  <c r="W16" i="1"/>
  <c r="X16" i="1"/>
  <c r="S17" i="1"/>
  <c r="W17" i="1"/>
  <c r="X17" i="1"/>
  <c r="S18" i="1"/>
  <c r="W18" i="1"/>
  <c r="X18" i="1"/>
  <c r="S19" i="1"/>
  <c r="W19" i="1"/>
  <c r="X19" i="1"/>
  <c r="S20" i="1"/>
  <c r="W20" i="1"/>
  <c r="X20" i="1"/>
  <c r="S10" i="1"/>
  <c r="X10" i="1"/>
  <c r="AA3" i="3"/>
  <c r="AC10" i="3"/>
  <c r="AC11" i="3"/>
  <c r="AC12" i="3"/>
  <c r="AC13" i="3"/>
  <c r="AC14" i="3"/>
  <c r="AC15" i="3"/>
  <c r="AC16" i="3"/>
  <c r="AC17" i="3"/>
  <c r="AC18" i="3"/>
  <c r="AC19" i="3"/>
  <c r="AC20" i="3"/>
  <c r="AC21" i="3"/>
  <c r="V21" i="3"/>
  <c r="AC22" i="3"/>
  <c r="G22" i="3"/>
  <c r="V22" i="3"/>
  <c r="AC23" i="3"/>
  <c r="G23" i="3"/>
  <c r="V23" i="3"/>
  <c r="AC24" i="3"/>
  <c r="G24" i="3"/>
  <c r="V24" i="3"/>
  <c r="AC25" i="3"/>
  <c r="G25" i="3"/>
  <c r="V25" i="3"/>
  <c r="AC26" i="3"/>
  <c r="G26" i="3"/>
  <c r="V26" i="3"/>
  <c r="AC27" i="3"/>
  <c r="G27" i="3"/>
  <c r="V27" i="3"/>
  <c r="AC28" i="3"/>
  <c r="G28" i="3"/>
  <c r="V28" i="3"/>
  <c r="AC29" i="3"/>
  <c r="G29" i="3"/>
  <c r="V29" i="3"/>
  <c r="AC30" i="3"/>
  <c r="G30" i="3"/>
  <c r="V30" i="3"/>
  <c r="AJ6" i="2"/>
  <c r="AK11" i="2"/>
  <c r="AL11" i="2"/>
  <c r="AB6" i="2"/>
  <c r="AC10" i="2"/>
  <c r="AC11" i="2"/>
  <c r="AC12" i="2"/>
  <c r="AC13" i="2"/>
  <c r="AC14" i="2"/>
  <c r="AC15" i="2"/>
  <c r="AC16" i="2"/>
  <c r="AC17" i="2"/>
  <c r="AC18" i="2"/>
  <c r="AC19" i="2"/>
  <c r="AC20" i="2"/>
  <c r="Y11" i="1"/>
  <c r="AB11" i="1"/>
  <c r="Y12" i="1"/>
  <c r="AB13" i="1"/>
  <c r="Y13" i="1"/>
  <c r="Y14" i="1"/>
  <c r="AB14" i="1"/>
  <c r="AB15" i="1"/>
  <c r="Y15" i="1"/>
  <c r="Y16" i="1"/>
  <c r="Y17" i="1"/>
  <c r="Y18" i="1"/>
  <c r="Y19" i="1"/>
  <c r="AB19" i="1"/>
  <c r="Y20" i="1"/>
  <c r="Y10" i="1"/>
  <c r="N11" i="1"/>
  <c r="N12" i="1"/>
  <c r="N13" i="1"/>
  <c r="N14" i="1"/>
  <c r="N15" i="1"/>
  <c r="N16" i="1"/>
  <c r="N17" i="1"/>
  <c r="N18" i="1"/>
  <c r="N19" i="1"/>
  <c r="N20" i="1"/>
  <c r="U11" i="1"/>
  <c r="U12" i="1"/>
  <c r="U13" i="1"/>
  <c r="U14" i="1"/>
  <c r="U15" i="1"/>
  <c r="U16" i="1"/>
  <c r="U17" i="1"/>
  <c r="U18" i="1"/>
  <c r="U19" i="1"/>
  <c r="U20" i="1"/>
  <c r="U10" i="1"/>
  <c r="L20" i="1"/>
  <c r="L4" i="1"/>
  <c r="N4" i="1"/>
  <c r="L4" i="3"/>
  <c r="N4" i="3"/>
  <c r="AK10" i="2"/>
  <c r="AL10" i="2"/>
  <c r="AK20" i="2"/>
  <c r="AL20" i="2"/>
  <c r="AK19" i="2"/>
  <c r="AL19" i="2"/>
  <c r="AK17" i="2"/>
  <c r="AL17" i="2"/>
  <c r="AK14" i="2"/>
  <c r="AL14" i="2"/>
  <c r="AK16" i="2"/>
  <c r="AL16" i="2"/>
  <c r="AK18" i="2"/>
  <c r="AL18" i="2"/>
  <c r="AK15" i="2"/>
  <c r="AL15" i="2"/>
  <c r="AK13" i="2"/>
  <c r="AL13" i="2"/>
  <c r="AK12" i="2"/>
  <c r="AL12" i="2"/>
  <c r="L4" i="2"/>
  <c r="N4" i="2"/>
  <c r="J12" i="2"/>
  <c r="H13" i="2"/>
  <c r="F13" i="2"/>
  <c r="F14" i="2"/>
  <c r="F15" i="2"/>
  <c r="F16" i="2"/>
  <c r="F17" i="2"/>
  <c r="F18" i="2"/>
  <c r="F19" i="2"/>
  <c r="F20" i="2"/>
  <c r="T10" i="2"/>
  <c r="AA10" i="2"/>
  <c r="AE10" i="2"/>
  <c r="S10" i="2"/>
  <c r="Z10" i="2"/>
  <c r="X10" i="2"/>
  <c r="Y10" i="2"/>
  <c r="U10" i="2"/>
  <c r="D14" i="2"/>
  <c r="O12" i="2"/>
  <c r="E11" i="2"/>
  <c r="AL22" i="2"/>
  <c r="J12" i="3"/>
  <c r="H13" i="3"/>
  <c r="T10" i="3"/>
  <c r="AA10" i="3"/>
  <c r="S10" i="3"/>
  <c r="Z10" i="3"/>
  <c r="AB10" i="3"/>
  <c r="U10" i="3"/>
  <c r="X10" i="3"/>
  <c r="Y10" i="3"/>
  <c r="O14" i="3"/>
  <c r="P13" i="3"/>
  <c r="P12" i="3"/>
  <c r="D11" i="3"/>
  <c r="AD10" i="3"/>
  <c r="F22" i="3"/>
  <c r="F23" i="3"/>
  <c r="F24" i="3"/>
  <c r="F25" i="3"/>
  <c r="F26" i="3"/>
  <c r="F27" i="3"/>
  <c r="F28" i="3"/>
  <c r="F29" i="3"/>
  <c r="F30" i="3"/>
  <c r="AB17" i="1"/>
  <c r="AB20" i="1"/>
  <c r="AB16" i="1"/>
  <c r="E12" i="2"/>
  <c r="R11" i="2"/>
  <c r="AD10" i="2"/>
  <c r="AB10" i="2"/>
  <c r="D15" i="2"/>
  <c r="O13" i="2"/>
  <c r="P12" i="2"/>
  <c r="J13" i="2"/>
  <c r="H14" i="2"/>
  <c r="P14" i="3"/>
  <c r="O15" i="3"/>
  <c r="J13" i="3"/>
  <c r="H14" i="3"/>
  <c r="R11" i="3"/>
  <c r="D12" i="3"/>
  <c r="H15" i="2"/>
  <c r="J14" i="2"/>
  <c r="D16" i="2"/>
  <c r="O14" i="2"/>
  <c r="P13" i="2"/>
  <c r="U11" i="2"/>
  <c r="T11" i="2"/>
  <c r="AA11" i="2"/>
  <c r="AE11" i="2"/>
  <c r="S11" i="2"/>
  <c r="X11" i="2"/>
  <c r="Y11" i="2"/>
  <c r="Z11" i="2"/>
  <c r="E13" i="2"/>
  <c r="R12" i="2"/>
  <c r="S11" i="3"/>
  <c r="X11" i="3"/>
  <c r="Y11" i="3"/>
  <c r="U11" i="3"/>
  <c r="T11" i="3"/>
  <c r="AA11" i="3"/>
  <c r="Z11" i="3"/>
  <c r="AB11" i="3"/>
  <c r="AD11" i="3"/>
  <c r="R12" i="3"/>
  <c r="D13" i="3"/>
  <c r="J14" i="3"/>
  <c r="H15" i="3"/>
  <c r="P15" i="3"/>
  <c r="O16" i="3"/>
  <c r="AB11" i="2"/>
  <c r="AD11" i="2"/>
  <c r="J15" i="2"/>
  <c r="H16" i="2"/>
  <c r="Z12" i="2"/>
  <c r="U12" i="2"/>
  <c r="T12" i="2"/>
  <c r="AA12" i="2"/>
  <c r="AE12" i="2"/>
  <c r="S12" i="2"/>
  <c r="X12" i="2"/>
  <c r="Y12" i="2"/>
  <c r="P14" i="2"/>
  <c r="O15" i="2"/>
  <c r="D17" i="2"/>
  <c r="E14" i="2"/>
  <c r="R13" i="2"/>
  <c r="D14" i="3"/>
  <c r="R13" i="3"/>
  <c r="J15" i="3"/>
  <c r="H16" i="3"/>
  <c r="Z12" i="3"/>
  <c r="T12" i="3"/>
  <c r="AA12" i="3"/>
  <c r="U12" i="3"/>
  <c r="S12" i="3"/>
  <c r="X12" i="3"/>
  <c r="Y12" i="3"/>
  <c r="P16" i="3"/>
  <c r="O17" i="3"/>
  <c r="P15" i="2"/>
  <c r="O16" i="2"/>
  <c r="AB12" i="2"/>
  <c r="AD12" i="2"/>
  <c r="H17" i="2"/>
  <c r="J16" i="2"/>
  <c r="T13" i="2"/>
  <c r="AA13" i="2"/>
  <c r="AE13" i="2"/>
  <c r="Z13" i="2"/>
  <c r="U13" i="2"/>
  <c r="S13" i="2"/>
  <c r="X13" i="2"/>
  <c r="Y13" i="2"/>
  <c r="E15" i="2"/>
  <c r="R14" i="2"/>
  <c r="D18" i="2"/>
  <c r="H17" i="3"/>
  <c r="J16" i="3"/>
  <c r="P17" i="3"/>
  <c r="O18" i="3"/>
  <c r="AB12" i="3"/>
  <c r="AD12" i="3"/>
  <c r="Z13" i="3"/>
  <c r="U13" i="3"/>
  <c r="T13" i="3"/>
  <c r="AA13" i="3"/>
  <c r="S13" i="3"/>
  <c r="X13" i="3"/>
  <c r="Y13" i="3"/>
  <c r="D15" i="3"/>
  <c r="R14" i="3"/>
  <c r="AB13" i="2"/>
  <c r="AD13" i="2"/>
  <c r="P16" i="2"/>
  <c r="O17" i="2"/>
  <c r="H18" i="2"/>
  <c r="J17" i="2"/>
  <c r="Z14" i="2"/>
  <c r="U14" i="2"/>
  <c r="T14" i="2"/>
  <c r="AA14" i="2"/>
  <c r="AE14" i="2"/>
  <c r="S14" i="2"/>
  <c r="X14" i="2"/>
  <c r="Y14" i="2"/>
  <c r="D19" i="2"/>
  <c r="E16" i="2"/>
  <c r="R15" i="2"/>
  <c r="Z14" i="3"/>
  <c r="T14" i="3"/>
  <c r="AA14" i="3"/>
  <c r="AB14" i="3"/>
  <c r="AD14" i="3"/>
  <c r="S14" i="3"/>
  <c r="X14" i="3"/>
  <c r="Y14" i="3"/>
  <c r="U14" i="3"/>
  <c r="H18" i="3"/>
  <c r="J17" i="3"/>
  <c r="R15" i="3"/>
  <c r="D16" i="3"/>
  <c r="AB13" i="3"/>
  <c r="AD13" i="3"/>
  <c r="P18" i="3"/>
  <c r="O19" i="3"/>
  <c r="J18" i="2"/>
  <c r="H19" i="2"/>
  <c r="AB14" i="2"/>
  <c r="AD14" i="2"/>
  <c r="E17" i="2"/>
  <c r="R16" i="2"/>
  <c r="S15" i="2"/>
  <c r="Z15" i="2"/>
  <c r="X15" i="2"/>
  <c r="Y15" i="2"/>
  <c r="U15" i="2"/>
  <c r="T15" i="2"/>
  <c r="AA15" i="2"/>
  <c r="AE15" i="2"/>
  <c r="P17" i="2"/>
  <c r="O18" i="2"/>
  <c r="D20" i="2"/>
  <c r="R16" i="3"/>
  <c r="D17" i="3"/>
  <c r="J18" i="3"/>
  <c r="H19" i="3"/>
  <c r="S15" i="3"/>
  <c r="Z15" i="3"/>
  <c r="X15" i="3"/>
  <c r="Y15" i="3"/>
  <c r="U15" i="3"/>
  <c r="T15" i="3"/>
  <c r="AA15" i="3"/>
  <c r="O20" i="3"/>
  <c r="P20" i="3"/>
  <c r="P19" i="3"/>
  <c r="U16" i="2"/>
  <c r="T16" i="2"/>
  <c r="AA16" i="2"/>
  <c r="AE16" i="2"/>
  <c r="S16" i="2"/>
  <c r="Z16" i="2"/>
  <c r="X16" i="2"/>
  <c r="Y16" i="2"/>
  <c r="E18" i="2"/>
  <c r="R17" i="2"/>
  <c r="O19" i="2"/>
  <c r="P18" i="2"/>
  <c r="AB15" i="2"/>
  <c r="AD15" i="2"/>
  <c r="J19" i="2"/>
  <c r="H20" i="2"/>
  <c r="J20" i="2"/>
  <c r="J19" i="3"/>
  <c r="H20" i="3"/>
  <c r="AB15" i="3"/>
  <c r="AD15" i="3"/>
  <c r="R17" i="3"/>
  <c r="D18" i="3"/>
  <c r="U16" i="3"/>
  <c r="T16" i="3"/>
  <c r="AA16" i="3"/>
  <c r="S16" i="3"/>
  <c r="Z16" i="3"/>
  <c r="AB16" i="3"/>
  <c r="AD16" i="3"/>
  <c r="X16" i="3"/>
  <c r="Y16" i="3"/>
  <c r="O21" i="3"/>
  <c r="O20" i="2"/>
  <c r="P20" i="2"/>
  <c r="P19" i="2"/>
  <c r="E19" i="2"/>
  <c r="R18" i="2"/>
  <c r="U17" i="2"/>
  <c r="T17" i="2"/>
  <c r="AA17" i="2"/>
  <c r="AE17" i="2"/>
  <c r="S17" i="2"/>
  <c r="Z17" i="2"/>
  <c r="X17" i="2"/>
  <c r="Y17" i="2"/>
  <c r="AD16" i="2"/>
  <c r="AB16" i="2"/>
  <c r="R18" i="3"/>
  <c r="D19" i="3"/>
  <c r="U17" i="3"/>
  <c r="T17" i="3"/>
  <c r="AA17" i="3"/>
  <c r="S17" i="3"/>
  <c r="X17" i="3"/>
  <c r="Y17" i="3"/>
  <c r="Z17" i="3"/>
  <c r="AB17" i="3"/>
  <c r="AD17" i="3"/>
  <c r="J20" i="3"/>
  <c r="H21" i="3"/>
  <c r="O22" i="3"/>
  <c r="P21" i="3"/>
  <c r="AD17" i="2"/>
  <c r="AB17" i="2"/>
  <c r="U18" i="2"/>
  <c r="T18" i="2"/>
  <c r="AA18" i="2"/>
  <c r="AE18" i="2"/>
  <c r="S18" i="2"/>
  <c r="X18" i="2"/>
  <c r="Y18" i="2"/>
  <c r="Z18" i="2"/>
  <c r="E20" i="2"/>
  <c r="R19" i="2"/>
  <c r="J21" i="3"/>
  <c r="H22" i="3"/>
  <c r="R19" i="3"/>
  <c r="D20" i="3"/>
  <c r="U18" i="3"/>
  <c r="T18" i="3"/>
  <c r="AA18" i="3"/>
  <c r="S18" i="3"/>
  <c r="X18" i="3"/>
  <c r="Y18" i="3"/>
  <c r="Z18" i="3"/>
  <c r="AB18" i="3"/>
  <c r="AD18" i="3"/>
  <c r="P22" i="3"/>
  <c r="O23" i="3"/>
  <c r="R20" i="2"/>
  <c r="S19" i="2"/>
  <c r="Z19" i="2"/>
  <c r="X19" i="2"/>
  <c r="Y19" i="2"/>
  <c r="U19" i="2"/>
  <c r="T19" i="2"/>
  <c r="AA19" i="2"/>
  <c r="AE19" i="2"/>
  <c r="AB18" i="2"/>
  <c r="AD18" i="2"/>
  <c r="Z19" i="3"/>
  <c r="T19" i="3"/>
  <c r="AA19" i="3"/>
  <c r="AB19" i="3"/>
  <c r="AD19" i="3"/>
  <c r="U19" i="3"/>
  <c r="S19" i="3"/>
  <c r="X19" i="3"/>
  <c r="Y19" i="3"/>
  <c r="J22" i="3"/>
  <c r="H23" i="3"/>
  <c r="R20" i="3"/>
  <c r="D21" i="3"/>
  <c r="P23" i="3"/>
  <c r="O24" i="3"/>
  <c r="Z20" i="2"/>
  <c r="S20" i="2"/>
  <c r="X20" i="2"/>
  <c r="Y20" i="2"/>
  <c r="T20" i="2"/>
  <c r="AA20" i="2"/>
  <c r="AE20" i="2"/>
  <c r="AE22" i="2"/>
  <c r="U20" i="2"/>
  <c r="AB19" i="2"/>
  <c r="AD19" i="2"/>
  <c r="R21" i="3"/>
  <c r="D22" i="3"/>
  <c r="Z20" i="3"/>
  <c r="U20" i="3"/>
  <c r="T20" i="3"/>
  <c r="AA20" i="3"/>
  <c r="S20" i="3"/>
  <c r="X20" i="3"/>
  <c r="Y20" i="3"/>
  <c r="J23" i="3"/>
  <c r="H24" i="3"/>
  <c r="O25" i="3"/>
  <c r="P24" i="3"/>
  <c r="AD20" i="2"/>
  <c r="AD22" i="2"/>
  <c r="AD23" i="2"/>
  <c r="AB20" i="2"/>
  <c r="S21" i="3"/>
  <c r="X21" i="3"/>
  <c r="U21" i="3"/>
  <c r="T21" i="3"/>
  <c r="R22" i="3"/>
  <c r="D23" i="3"/>
  <c r="J24" i="3"/>
  <c r="H25" i="3"/>
  <c r="AB20" i="3"/>
  <c r="AD20" i="3"/>
  <c r="P25" i="3"/>
  <c r="O26" i="3"/>
  <c r="J25" i="3"/>
  <c r="H26" i="3"/>
  <c r="D24" i="3"/>
  <c r="R23" i="3"/>
  <c r="T22" i="3"/>
  <c r="U22" i="3"/>
  <c r="S22" i="3"/>
  <c r="X22" i="3"/>
  <c r="Y21" i="3"/>
  <c r="AA21" i="3"/>
  <c r="Z21" i="3"/>
  <c r="AB21" i="3"/>
  <c r="AD21" i="3"/>
  <c r="P26" i="3"/>
  <c r="O27" i="3"/>
  <c r="Z22" i="3"/>
  <c r="Y22" i="3"/>
  <c r="AA22" i="3"/>
  <c r="S23" i="3"/>
  <c r="X23" i="3"/>
  <c r="U23" i="3"/>
  <c r="T23" i="3"/>
  <c r="H27" i="3"/>
  <c r="J26" i="3"/>
  <c r="R24" i="3"/>
  <c r="D25" i="3"/>
  <c r="P27" i="3"/>
  <c r="O28" i="3"/>
  <c r="AB22" i="3"/>
  <c r="AD22" i="3"/>
  <c r="D26" i="3"/>
  <c r="R25" i="3"/>
  <c r="J27" i="3"/>
  <c r="H28" i="3"/>
  <c r="U24" i="3"/>
  <c r="T24" i="3"/>
  <c r="S24" i="3"/>
  <c r="X24" i="3"/>
  <c r="Z23" i="3"/>
  <c r="Y23" i="3"/>
  <c r="AA23" i="3"/>
  <c r="P28" i="3"/>
  <c r="O29" i="3"/>
  <c r="R26" i="3"/>
  <c r="D27" i="3"/>
  <c r="AB23" i="3"/>
  <c r="AD23" i="3"/>
  <c r="Z24" i="3"/>
  <c r="Y24" i="3"/>
  <c r="AA24" i="3"/>
  <c r="H29" i="3"/>
  <c r="J28" i="3"/>
  <c r="S25" i="3"/>
  <c r="X25" i="3"/>
  <c r="T25" i="3"/>
  <c r="U25" i="3"/>
  <c r="O30" i="3"/>
  <c r="P30" i="3"/>
  <c r="P29" i="3"/>
  <c r="S26" i="3"/>
  <c r="X26" i="3"/>
  <c r="U26" i="3"/>
  <c r="T26" i="3"/>
  <c r="Z25" i="3"/>
  <c r="Y25" i="3"/>
  <c r="AA25" i="3"/>
  <c r="AB25" i="3"/>
  <c r="AD25" i="3"/>
  <c r="J29" i="3"/>
  <c r="H30" i="3"/>
  <c r="J30" i="3"/>
  <c r="AB24" i="3"/>
  <c r="AD24" i="3"/>
  <c r="R27" i="3"/>
  <c r="D28" i="3"/>
  <c r="D29" i="3"/>
  <c r="R28" i="3"/>
  <c r="S27" i="3"/>
  <c r="X27" i="3"/>
  <c r="T27" i="3"/>
  <c r="U27" i="3"/>
  <c r="Y26" i="3"/>
  <c r="AA26" i="3"/>
  <c r="Z26" i="3"/>
  <c r="AB26" i="3"/>
  <c r="AD26" i="3"/>
  <c r="R29" i="3"/>
  <c r="D30" i="3"/>
  <c r="R30" i="3"/>
  <c r="Z27" i="3"/>
  <c r="Y27" i="3"/>
  <c r="AA27" i="3"/>
  <c r="T28" i="3"/>
  <c r="U28" i="3"/>
  <c r="S28" i="3"/>
  <c r="X28" i="3"/>
  <c r="Z28" i="3"/>
  <c r="Y28" i="3"/>
  <c r="AB27" i="3"/>
  <c r="AD27" i="3"/>
  <c r="T29" i="3"/>
  <c r="S29" i="3"/>
  <c r="U29" i="3"/>
  <c r="X29" i="3"/>
  <c r="AA28" i="3"/>
  <c r="T30" i="3"/>
  <c r="U30" i="3"/>
  <c r="S30" i="3"/>
  <c r="X30" i="3"/>
  <c r="Z30" i="3"/>
  <c r="Y30" i="3"/>
  <c r="AA30" i="3"/>
  <c r="Y29" i="3"/>
  <c r="AA29" i="3"/>
  <c r="Z29" i="3"/>
  <c r="AB29" i="3"/>
  <c r="AD29" i="3"/>
  <c r="AB28" i="3"/>
  <c r="AD28" i="3"/>
  <c r="AB30" i="3"/>
  <c r="AD30" i="3"/>
  <c r="AD33" i="3"/>
</calcChain>
</file>

<file path=xl/sharedStrings.xml><?xml version="1.0" encoding="utf-8"?>
<sst xmlns="http://schemas.openxmlformats.org/spreadsheetml/2006/main" count="153" uniqueCount="49">
  <si>
    <t xml:space="preserve">Time </t>
  </si>
  <si>
    <t>Year</t>
  </si>
  <si>
    <t>No. of participant(in mn)</t>
  </si>
  <si>
    <t>US &amp; Russia</t>
  </si>
  <si>
    <t>International</t>
  </si>
  <si>
    <t>Inflation(US)</t>
  </si>
  <si>
    <t>Unit cost($)</t>
  </si>
  <si>
    <t>Pricing($)</t>
  </si>
  <si>
    <t>New Pool Participants(in mn)</t>
  </si>
  <si>
    <t>New Pool Cost</t>
  </si>
  <si>
    <t>R&amp;D Expense(in mn$)</t>
  </si>
  <si>
    <t>Current Intl Server used</t>
  </si>
  <si>
    <t>Total Server capacity (mn)</t>
  </si>
  <si>
    <t>Server Cost (mn)</t>
  </si>
  <si>
    <t>New capacity (mn)</t>
  </si>
  <si>
    <t>Introductory Cost (mn)</t>
  </si>
  <si>
    <t>No. of paricipants</t>
  </si>
  <si>
    <t>Us &amp; Russia</t>
  </si>
  <si>
    <t>Internation</t>
  </si>
  <si>
    <t>Therefore new server will be needed in year 4</t>
  </si>
  <si>
    <t>Without alternium</t>
  </si>
  <si>
    <t>With Alternium</t>
  </si>
  <si>
    <t>Advertising expense (mn)</t>
  </si>
  <si>
    <t>G&amp;A Expenses</t>
  </si>
  <si>
    <t>alternium's expense</t>
  </si>
  <si>
    <t>firm's expenses</t>
  </si>
  <si>
    <t>Total Revenue(mn)</t>
  </si>
  <si>
    <t>Fees charged</t>
  </si>
  <si>
    <t>Accounts Payable</t>
  </si>
  <si>
    <t>Inventory of coins</t>
  </si>
  <si>
    <t>Interest on debt</t>
  </si>
  <si>
    <t>Debt (mn)</t>
  </si>
  <si>
    <t>Interest rate</t>
  </si>
  <si>
    <t>Side benefits(mn)</t>
  </si>
  <si>
    <t>Taxable Revenue</t>
  </si>
  <si>
    <t>Tax</t>
  </si>
  <si>
    <t>Total inflows</t>
  </si>
  <si>
    <t>Total Outflows</t>
  </si>
  <si>
    <t>Net cashflow</t>
  </si>
  <si>
    <t>Cashflows (in mn)</t>
  </si>
  <si>
    <t>Cost of capital</t>
  </si>
  <si>
    <t>v</t>
  </si>
  <si>
    <t>Discount factor</t>
  </si>
  <si>
    <t>PV</t>
  </si>
  <si>
    <t>NPV</t>
  </si>
  <si>
    <t>PV (mn)</t>
  </si>
  <si>
    <t>NPV (mn)</t>
  </si>
  <si>
    <t>Inflow</t>
  </si>
  <si>
    <t>Outflow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</si>
</sst>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2" borderId="0" applyNumberFormat="0" applyBorder="0" applyAlignment="0" applyProtection="0"/>
  </cellStyleXfs>
  <cellXfs count="24">
    <xf numFmtId="0" fontId="0" fillId="0" borderId="0" xfId="0"/>
    <xf numFmtId="2" fontId="0" fillId="0" borderId="0" xfId="0" applyNumberFormat="1"/>
    <xf numFmtId="164" fontId="0" fillId="0" borderId="0" xfId="0" applyNumberFormat="1"/>
    <xf numFmtId="10" fontId="0" fillId="0" borderId="0" xfId="0" applyNumberFormat="1"/>
    <xf numFmtId="9" fontId="0" fillId="0" borderId="0" xfId="0" applyNumberFormat="1"/>
    <xf numFmtId="0" fontId="0" fillId="0" borderId="0" xfId="0" applyBorder="1"/>
    <xf numFmtId="164" fontId="0" fillId="0" borderId="0" xfId="0" applyNumberFormat="1" applyBorder="1"/>
    <xf numFmtId="2" fontId="0" fillId="0" borderId="0" xfId="0" applyNumberFormat="1" applyBorder="1"/>
    <xf numFmtId="164" fontId="1" fillId="0" borderId="0" xfId="1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2" fontId="0" fillId="0" borderId="1" xfId="0" applyNumberFormat="1" applyBorder="1"/>
    <xf numFmtId="164" fontId="1" fillId="0" borderId="1" xfId="1" applyNumberFormat="1" applyBorder="1"/>
    <xf numFmtId="0" fontId="1" fillId="0" borderId="1" xfId="1" applyBorder="1"/>
    <xf numFmtId="2" fontId="1" fillId="0" borderId="1" xfId="1" applyNumberFormat="1" applyBorder="1"/>
    <xf numFmtId="2" fontId="2" fillId="2" borderId="1" xfId="2" applyNumberFormat="1" applyBorder="1"/>
    <xf numFmtId="0" fontId="2" fillId="2" borderId="1" xfId="2" applyBorder="1"/>
    <xf numFmtId="0" fontId="0" fillId="0" borderId="0" xfId="0" applyFill="1" applyBorder="1"/>
    <xf numFmtId="0" fontId="0" fillId="0" borderId="1" xfId="0" applyFill="1" applyBorder="1" applyAlignment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Good" xfId="2" builtinId="26"/>
    <cellStyle name="Normal" xfId="0" builtinId="0"/>
    <cellStyle name="Warning Text" xfId="1" builtin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F6A4D-F585-4EC5-AE6A-AE2E29E8E87B}">
  <dimension ref="B2:AB20"/>
  <sheetViews>
    <sheetView tabSelected="1" topLeftCell="E1" workbookViewId="0">
      <selection activeCell="G10" sqref="G10"/>
    </sheetView>
  </sheetViews>
  <sheetFormatPr defaultRowHeight="14.4" x14ac:dyDescent="0.3"/>
  <cols>
    <col min="1" max="1" width="15.44140625" customWidth="1"/>
    <col min="2" max="2" width="9.44140625" customWidth="1"/>
    <col min="4" max="4" width="11.109375" bestFit="1" customWidth="1"/>
    <col min="5" max="5" width="11.5546875" bestFit="1" customWidth="1"/>
    <col min="7" max="7" width="10.44140625" bestFit="1" customWidth="1"/>
    <col min="8" max="8" width="11.5546875" bestFit="1" customWidth="1"/>
    <col min="9" max="9" width="24.77734375" bestFit="1" customWidth="1"/>
    <col min="10" max="10" width="13" bestFit="1" customWidth="1"/>
    <col min="11" max="11" width="22.44140625" bestFit="1" customWidth="1"/>
    <col min="12" max="12" width="14.44140625" bestFit="1" customWidth="1"/>
    <col min="13" max="13" width="16.21875" bestFit="1" customWidth="1"/>
    <col min="14" max="14" width="17.33203125" bestFit="1" customWidth="1"/>
    <col min="15" max="15" width="19.21875" customWidth="1"/>
    <col min="16" max="16" width="15.77734375" customWidth="1"/>
    <col min="17" max="17" width="19.6640625" bestFit="1" customWidth="1"/>
    <col min="18" max="18" width="16.44140625" bestFit="1" customWidth="1"/>
    <col min="19" max="19" width="11.5546875" bestFit="1" customWidth="1"/>
    <col min="20" max="20" width="15.33203125" bestFit="1" customWidth="1"/>
    <col min="21" max="21" width="15.77734375" bestFit="1" customWidth="1"/>
    <col min="22" max="22" width="14.109375" bestFit="1" customWidth="1"/>
    <col min="23" max="23" width="15.109375" bestFit="1" customWidth="1"/>
    <col min="24" max="24" width="14.88671875" bestFit="1" customWidth="1"/>
    <col min="26" max="26" width="11.5546875" bestFit="1" customWidth="1"/>
    <col min="27" max="27" width="13.21875" bestFit="1" customWidth="1"/>
    <col min="28" max="28" width="11.88671875" bestFit="1" customWidth="1"/>
  </cols>
  <sheetData>
    <row r="2" spans="2:28" x14ac:dyDescent="0.3">
      <c r="F2" t="s">
        <v>1</v>
      </c>
      <c r="G2" s="23" t="s">
        <v>16</v>
      </c>
      <c r="H2" s="23"/>
    </row>
    <row r="3" spans="2:28" x14ac:dyDescent="0.3">
      <c r="G3" t="s">
        <v>17</v>
      </c>
      <c r="H3" t="s">
        <v>18</v>
      </c>
      <c r="K3" t="s">
        <v>11</v>
      </c>
      <c r="L3" s="4">
        <v>0.65</v>
      </c>
      <c r="P3" t="s">
        <v>31</v>
      </c>
      <c r="Q3">
        <v>2432</v>
      </c>
    </row>
    <row r="4" spans="2:28" x14ac:dyDescent="0.3">
      <c r="D4" t="s">
        <v>5</v>
      </c>
      <c r="E4" s="3">
        <v>1.4999999999999999E-2</v>
      </c>
      <c r="F4">
        <v>2020</v>
      </c>
      <c r="G4" s="2">
        <v>45</v>
      </c>
      <c r="H4" s="2">
        <v>30</v>
      </c>
      <c r="K4" t="s">
        <v>12</v>
      </c>
      <c r="L4" s="1">
        <f>E10/L3</f>
        <v>53.833846153846167</v>
      </c>
      <c r="M4" t="s">
        <v>14</v>
      </c>
      <c r="N4" s="1">
        <f>L4*2</f>
        <v>107.66769230769233</v>
      </c>
      <c r="P4" t="s">
        <v>32</v>
      </c>
      <c r="Q4" s="4">
        <v>0.02</v>
      </c>
    </row>
    <row r="5" spans="2:28" x14ac:dyDescent="0.3">
      <c r="F5">
        <v>2021</v>
      </c>
      <c r="G5" s="2">
        <f>G4*(1+5%)</f>
        <v>47.25</v>
      </c>
      <c r="H5" s="2">
        <f>H4*(1+8%)</f>
        <v>32.400000000000006</v>
      </c>
      <c r="K5" s="23" t="s">
        <v>19</v>
      </c>
      <c r="L5" s="23"/>
    </row>
    <row r="6" spans="2:28" x14ac:dyDescent="0.3">
      <c r="F6">
        <v>2022</v>
      </c>
      <c r="G6" s="2">
        <f>G5*(1+5%)</f>
        <v>49.612500000000004</v>
      </c>
      <c r="H6" s="2">
        <f>H5*(1+8%)</f>
        <v>34.992000000000012</v>
      </c>
    </row>
    <row r="8" spans="2:28" x14ac:dyDescent="0.3">
      <c r="B8" s="9" t="s">
        <v>1</v>
      </c>
      <c r="C8" s="10" t="s">
        <v>0</v>
      </c>
      <c r="D8" s="22" t="s">
        <v>2</v>
      </c>
      <c r="E8" s="22"/>
      <c r="F8" s="9" t="s">
        <v>7</v>
      </c>
      <c r="G8" s="22" t="s">
        <v>6</v>
      </c>
      <c r="H8" s="22"/>
      <c r="I8" s="9" t="s">
        <v>8</v>
      </c>
      <c r="J8" s="9" t="s">
        <v>9</v>
      </c>
      <c r="K8" s="9" t="s">
        <v>10</v>
      </c>
      <c r="L8" s="9" t="s">
        <v>13</v>
      </c>
      <c r="M8" s="22" t="s">
        <v>23</v>
      </c>
      <c r="N8" s="22"/>
      <c r="O8" s="22" t="s">
        <v>22</v>
      </c>
      <c r="P8" s="22"/>
      <c r="Q8" s="9" t="s">
        <v>15</v>
      </c>
      <c r="R8" s="9" t="s">
        <v>26</v>
      </c>
      <c r="S8" s="9" t="s">
        <v>27</v>
      </c>
      <c r="T8" s="9" t="s">
        <v>28</v>
      </c>
      <c r="U8" s="9" t="s">
        <v>29</v>
      </c>
      <c r="V8" s="9" t="s">
        <v>30</v>
      </c>
      <c r="W8" s="9" t="s">
        <v>33</v>
      </c>
      <c r="X8" s="9" t="s">
        <v>34</v>
      </c>
      <c r="Y8" s="9" t="s">
        <v>35</v>
      </c>
      <c r="Z8" s="22" t="s">
        <v>39</v>
      </c>
      <c r="AA8" s="22"/>
      <c r="AB8" s="22"/>
    </row>
    <row r="9" spans="2:28" x14ac:dyDescent="0.3">
      <c r="B9" s="9"/>
      <c r="C9" s="9"/>
      <c r="D9" s="9" t="s">
        <v>3</v>
      </c>
      <c r="E9" s="9" t="s">
        <v>4</v>
      </c>
      <c r="F9" s="9"/>
      <c r="G9" s="9" t="s">
        <v>3</v>
      </c>
      <c r="H9" s="9" t="s">
        <v>4</v>
      </c>
      <c r="I9" s="9" t="s">
        <v>4</v>
      </c>
      <c r="J9" s="9"/>
      <c r="K9" s="9"/>
      <c r="L9" s="9"/>
      <c r="M9" s="9" t="s">
        <v>25</v>
      </c>
      <c r="N9" s="9" t="s">
        <v>24</v>
      </c>
      <c r="O9" s="9" t="s">
        <v>20</v>
      </c>
      <c r="P9" s="9" t="s">
        <v>21</v>
      </c>
      <c r="Q9" s="9"/>
      <c r="R9" s="9"/>
      <c r="S9" s="9"/>
      <c r="T9" s="9"/>
      <c r="U9" s="9"/>
      <c r="V9" s="9"/>
      <c r="W9" s="9"/>
      <c r="X9" s="9"/>
      <c r="Y9" s="9"/>
      <c r="Z9" s="9" t="s">
        <v>36</v>
      </c>
      <c r="AA9" s="9" t="s">
        <v>37</v>
      </c>
      <c r="AB9" s="9" t="s">
        <v>38</v>
      </c>
    </row>
    <row r="10" spans="2:28" x14ac:dyDescent="0.3">
      <c r="B10" s="9">
        <v>2022</v>
      </c>
      <c r="C10" s="9">
        <v>0</v>
      </c>
      <c r="D10" s="11">
        <f>G6</f>
        <v>49.612500000000004</v>
      </c>
      <c r="E10" s="11">
        <f>H6</f>
        <v>34.992000000000012</v>
      </c>
      <c r="F10" s="12">
        <v>100</v>
      </c>
      <c r="G10" s="13">
        <v>36</v>
      </c>
      <c r="H10" s="13">
        <v>48</v>
      </c>
      <c r="I10" s="9"/>
      <c r="J10" s="9"/>
      <c r="K10" s="14">
        <v>150</v>
      </c>
      <c r="L10" s="14"/>
      <c r="M10" s="11">
        <v>400</v>
      </c>
      <c r="N10" s="13">
        <v>40</v>
      </c>
      <c r="O10" s="11">
        <v>500</v>
      </c>
      <c r="P10" s="13">
        <f>O10</f>
        <v>500</v>
      </c>
      <c r="Q10" s="14">
        <v>1000</v>
      </c>
      <c r="R10" s="11">
        <f>(D10*F10)+(E10*F10)+(I10*F10)</f>
        <v>8460.4500000000007</v>
      </c>
      <c r="S10" s="11">
        <f>5%*R10</f>
        <v>423.02250000000004</v>
      </c>
      <c r="T10" s="13">
        <f>R10*6%</f>
        <v>507.62700000000001</v>
      </c>
      <c r="U10" s="11">
        <f>R10*10%</f>
        <v>846.04500000000007</v>
      </c>
      <c r="V10" s="14">
        <f>$Q$3*$Q$4</f>
        <v>48.64</v>
      </c>
      <c r="W10" s="11">
        <v>30</v>
      </c>
      <c r="X10" s="11">
        <f>R10+S10+W10-V10</f>
        <v>8864.8325000000004</v>
      </c>
      <c r="Y10" s="13">
        <f>X10*10%</f>
        <v>886.48325000000011</v>
      </c>
      <c r="Z10" s="11">
        <f>R10</f>
        <v>8460.4500000000007</v>
      </c>
      <c r="AA10" s="15">
        <f>(D10*G10)+(E10*H10)+(I10*J10)+K10+M10+P10+T10+V10+Q10</f>
        <v>6071.9330000000018</v>
      </c>
      <c r="AB10" s="11">
        <f>Z10-AA10</f>
        <v>2388.5169999999989</v>
      </c>
    </row>
    <row r="11" spans="2:28" x14ac:dyDescent="0.3">
      <c r="B11" s="9">
        <v>2023</v>
      </c>
      <c r="C11" s="9">
        <v>1</v>
      </c>
      <c r="D11" s="11">
        <f>D10*(1+5%)</f>
        <v>52.093125000000008</v>
      </c>
      <c r="E11" s="11">
        <f>E10*(1+10%)</f>
        <v>38.491200000000013</v>
      </c>
      <c r="F11" s="12">
        <f>F10*(1+$E$4)</f>
        <v>101.49999999999999</v>
      </c>
      <c r="G11" s="13">
        <f>G10*(1+$E$4)</f>
        <v>36.54</v>
      </c>
      <c r="H11" s="13">
        <f>H10*(1+$E$4)</f>
        <v>48.72</v>
      </c>
      <c r="I11" s="9">
        <v>5</v>
      </c>
      <c r="J11" s="15">
        <f>H11*60%</f>
        <v>29.231999999999999</v>
      </c>
      <c r="K11" s="14"/>
      <c r="L11" s="14"/>
      <c r="M11" s="11">
        <f>M10*(1+5%)</f>
        <v>420</v>
      </c>
      <c r="N11" s="13">
        <f>N10*(1+10%)</f>
        <v>44</v>
      </c>
      <c r="O11" s="11">
        <f>O10*(1+5%)</f>
        <v>525</v>
      </c>
      <c r="P11" s="13">
        <f>O11*(1+15%)</f>
        <v>603.75</v>
      </c>
      <c r="Q11" s="9"/>
      <c r="R11" s="11">
        <f t="shared" ref="R11:R20" si="0">(D11*F11)+(E11*F11)+(I11*F11)</f>
        <v>9701.8089875000005</v>
      </c>
      <c r="S11" s="11">
        <f t="shared" ref="S11:S20" si="1">5%*R11</f>
        <v>485.09044937500005</v>
      </c>
      <c r="T11" s="13">
        <f t="shared" ref="T11:T20" si="2">R11*6%</f>
        <v>582.10853925000004</v>
      </c>
      <c r="U11" s="11">
        <f t="shared" ref="U11:U20" si="3">R11*10%</f>
        <v>970.1808987500001</v>
      </c>
      <c r="V11" s="14">
        <f t="shared" ref="V11:V20" si="4">$Q$3*$Q$4</f>
        <v>48.64</v>
      </c>
      <c r="W11" s="11">
        <f>W10*(1+3%)</f>
        <v>30.900000000000002</v>
      </c>
      <c r="X11" s="11">
        <f t="shared" ref="X11:X20" si="5">R11+S11+W11-V11</f>
        <v>10169.159436875001</v>
      </c>
      <c r="Y11" s="13">
        <f t="shared" ref="Y11:Y20" si="6">X11*10%</f>
        <v>1016.9159436875002</v>
      </c>
      <c r="Z11" s="11">
        <f t="shared" ref="Z11:Z20" si="7">R11</f>
        <v>9701.8089875000005</v>
      </c>
      <c r="AA11" s="15">
        <f t="shared" ref="AA11:AA20" si="8">(D11*G11)+(E11*H11)+(I11*J11)+K11+M11+P11+T11+V11</f>
        <v>5579.4325907500006</v>
      </c>
      <c r="AB11" s="11">
        <f t="shared" ref="AB11:AB20" si="9">Z11-AA11</f>
        <v>4122.3763967499999</v>
      </c>
    </row>
    <row r="12" spans="2:28" x14ac:dyDescent="0.3">
      <c r="B12" s="9">
        <v>2024</v>
      </c>
      <c r="C12" s="9">
        <v>2</v>
      </c>
      <c r="D12" s="11">
        <f t="shared" ref="D12:D20" si="10">D11*(1+5%)</f>
        <v>54.697781250000013</v>
      </c>
      <c r="E12" s="11">
        <f t="shared" ref="E12:E20" si="11">E11*(1+10%)</f>
        <v>42.34032000000002</v>
      </c>
      <c r="F12" s="12">
        <f t="shared" ref="F12:F20" si="12">F11*(1+$E$4)</f>
        <v>103.02249999999998</v>
      </c>
      <c r="G12" s="13">
        <f t="shared" ref="G12:G20" si="13">G11*(1+$E$4)</f>
        <v>37.088099999999997</v>
      </c>
      <c r="H12" s="13">
        <f t="shared" ref="H12:H20" si="14">H11*(1+$E$4)</f>
        <v>49.450799999999994</v>
      </c>
      <c r="I12" s="11">
        <f>I11*(1+8%)</f>
        <v>5.4</v>
      </c>
      <c r="J12" s="15">
        <f t="shared" ref="J12:J20" si="15">H12*60%</f>
        <v>29.670479999999994</v>
      </c>
      <c r="K12" s="14"/>
      <c r="L12" s="14"/>
      <c r="M12" s="11">
        <f t="shared" ref="M12:M20" si="16">M11*(1+5%)</f>
        <v>441</v>
      </c>
      <c r="N12" s="13">
        <f t="shared" ref="N12:N20" si="17">N11*(1+10%)</f>
        <v>48.400000000000006</v>
      </c>
      <c r="O12" s="11">
        <f t="shared" ref="O12:O20" si="18">O11*(1+5%)</f>
        <v>551.25</v>
      </c>
      <c r="P12" s="13">
        <f t="shared" ref="P12:P20" si="19">O12*(1+15%)</f>
        <v>633.9375</v>
      </c>
      <c r="Q12" s="9"/>
      <c r="R12" s="11">
        <f t="shared" si="0"/>
        <v>10553.429286028126</v>
      </c>
      <c r="S12" s="11">
        <f t="shared" si="1"/>
        <v>527.67146430140633</v>
      </c>
      <c r="T12" s="13">
        <f t="shared" si="2"/>
        <v>633.20575716168753</v>
      </c>
      <c r="U12" s="11">
        <f t="shared" si="3"/>
        <v>1055.3429286028127</v>
      </c>
      <c r="V12" s="14">
        <f t="shared" si="4"/>
        <v>48.64</v>
      </c>
      <c r="W12" s="11">
        <f t="shared" ref="W12:W20" si="20">W11*(1+3%)</f>
        <v>31.827000000000002</v>
      </c>
      <c r="X12" s="11">
        <f t="shared" si="5"/>
        <v>11064.287750329531</v>
      </c>
      <c r="Y12" s="13">
        <f t="shared" si="6"/>
        <v>1106.4287750329531</v>
      </c>
      <c r="Z12" s="11">
        <f t="shared" si="7"/>
        <v>10553.429286028126</v>
      </c>
      <c r="AA12" s="15">
        <f t="shared" si="8"/>
        <v>6039.4033261958139</v>
      </c>
      <c r="AB12" s="11">
        <f t="shared" si="9"/>
        <v>4514.0259598323119</v>
      </c>
    </row>
    <row r="13" spans="2:28" x14ac:dyDescent="0.3">
      <c r="B13" s="9">
        <v>2025</v>
      </c>
      <c r="C13" s="9">
        <v>3</v>
      </c>
      <c r="D13" s="11">
        <f t="shared" si="10"/>
        <v>57.432670312500015</v>
      </c>
      <c r="E13" s="11">
        <f t="shared" si="11"/>
        <v>46.574352000000026</v>
      </c>
      <c r="F13" s="12">
        <f t="shared" si="12"/>
        <v>104.56783749999997</v>
      </c>
      <c r="G13" s="13">
        <f t="shared" si="13"/>
        <v>37.644421499999993</v>
      </c>
      <c r="H13" s="13">
        <f t="shared" si="14"/>
        <v>50.192561999999988</v>
      </c>
      <c r="I13" s="11">
        <f t="shared" ref="I13:I20" si="21">I12*(1+8%)</f>
        <v>5.8320000000000007</v>
      </c>
      <c r="J13" s="15">
        <f t="shared" si="15"/>
        <v>30.115537199999991</v>
      </c>
      <c r="K13" s="14"/>
      <c r="L13" s="14"/>
      <c r="M13" s="11">
        <f t="shared" si="16"/>
        <v>463.05</v>
      </c>
      <c r="N13" s="13">
        <f t="shared" si="17"/>
        <v>53.240000000000009</v>
      </c>
      <c r="O13" s="11">
        <f t="shared" si="18"/>
        <v>578.8125</v>
      </c>
      <c r="P13" s="13">
        <f t="shared" si="19"/>
        <v>665.63437499999998</v>
      </c>
      <c r="Q13" s="9"/>
      <c r="R13" s="11">
        <f t="shared" si="0"/>
        <v>11485.629036332375</v>
      </c>
      <c r="S13" s="11">
        <f t="shared" si="1"/>
        <v>574.28145181661876</v>
      </c>
      <c r="T13" s="13">
        <f t="shared" si="2"/>
        <v>689.13774217994251</v>
      </c>
      <c r="U13" s="11">
        <f t="shared" si="3"/>
        <v>1148.5629036332375</v>
      </c>
      <c r="V13" s="14">
        <f t="shared" si="4"/>
        <v>48.64</v>
      </c>
      <c r="W13" s="11">
        <f t="shared" si="20"/>
        <v>32.78181</v>
      </c>
      <c r="X13" s="11">
        <f t="shared" si="5"/>
        <v>12044.052298148996</v>
      </c>
      <c r="Y13" s="13">
        <f t="shared" si="6"/>
        <v>1204.4052298148997</v>
      </c>
      <c r="Z13" s="11">
        <f t="shared" si="7"/>
        <v>11485.629036332375</v>
      </c>
      <c r="AA13" s="15">
        <f>(D13*G13)+(E13*H13)+(I13*J13)+K13+M13+P13+T13+V13</f>
        <v>6541.8016296144542</v>
      </c>
      <c r="AB13" s="11">
        <f t="shared" si="9"/>
        <v>4943.8274067179209</v>
      </c>
    </row>
    <row r="14" spans="2:28" x14ac:dyDescent="0.3">
      <c r="B14" s="9">
        <v>2026</v>
      </c>
      <c r="C14" s="9">
        <v>4</v>
      </c>
      <c r="D14" s="11">
        <f t="shared" si="10"/>
        <v>60.304303828125022</v>
      </c>
      <c r="E14" s="11">
        <f t="shared" si="11"/>
        <v>51.231787200000035</v>
      </c>
      <c r="F14" s="12">
        <f t="shared" si="12"/>
        <v>106.13635506249996</v>
      </c>
      <c r="G14" s="13">
        <f t="shared" si="13"/>
        <v>38.209087822499988</v>
      </c>
      <c r="H14" s="13">
        <f t="shared" si="14"/>
        <v>50.94545042999998</v>
      </c>
      <c r="I14" s="11">
        <f t="shared" si="21"/>
        <v>6.298560000000001</v>
      </c>
      <c r="J14" s="15">
        <f t="shared" si="15"/>
        <v>30.567270257999986</v>
      </c>
      <c r="K14" s="14"/>
      <c r="L14" s="15">
        <f>600*(1+$E$4)^(C14)</f>
        <v>636.81813037499967</v>
      </c>
      <c r="M14" s="11">
        <f t="shared" si="16"/>
        <v>486.20250000000004</v>
      </c>
      <c r="N14" s="13">
        <f t="shared" si="17"/>
        <v>58.564000000000014</v>
      </c>
      <c r="O14" s="11">
        <f t="shared" si="18"/>
        <v>607.75312500000007</v>
      </c>
      <c r="P14" s="13">
        <f t="shared" si="19"/>
        <v>698.91609375000007</v>
      </c>
      <c r="Q14" s="9"/>
      <c r="R14" s="11">
        <f t="shared" si="0"/>
        <v>12506.540360186858</v>
      </c>
      <c r="S14" s="11">
        <f t="shared" si="1"/>
        <v>625.32701800934296</v>
      </c>
      <c r="T14" s="13">
        <f t="shared" si="2"/>
        <v>750.39242161121149</v>
      </c>
      <c r="U14" s="11">
        <f t="shared" si="3"/>
        <v>1250.6540360186859</v>
      </c>
      <c r="V14" s="14">
        <f t="shared" si="4"/>
        <v>48.64</v>
      </c>
      <c r="W14" s="11">
        <f t="shared" si="20"/>
        <v>33.765264299999998</v>
      </c>
      <c r="X14" s="11">
        <f t="shared" si="5"/>
        <v>13116.992642496201</v>
      </c>
      <c r="Y14" s="13">
        <f t="shared" si="6"/>
        <v>1311.6992642496202</v>
      </c>
      <c r="Z14" s="11">
        <f t="shared" si="7"/>
        <v>12506.540360186858</v>
      </c>
      <c r="AA14" s="15">
        <f>(D14*G14)+(E14*H14)+(I14*J14)+K14+M14+P14+T14+V14+L14</f>
        <v>7727.6978477739012</v>
      </c>
      <c r="AB14" s="11">
        <f t="shared" si="9"/>
        <v>4778.8425124129571</v>
      </c>
    </row>
    <row r="15" spans="2:28" x14ac:dyDescent="0.3">
      <c r="B15" s="9">
        <v>2027</v>
      </c>
      <c r="C15" s="9">
        <v>5</v>
      </c>
      <c r="D15" s="11">
        <f t="shared" si="10"/>
        <v>63.319519019531278</v>
      </c>
      <c r="E15" s="11">
        <f t="shared" si="11"/>
        <v>56.354965920000041</v>
      </c>
      <c r="F15" s="12">
        <f t="shared" si="12"/>
        <v>107.72840038843745</v>
      </c>
      <c r="G15" s="13">
        <f t="shared" si="13"/>
        <v>38.782224139837481</v>
      </c>
      <c r="H15" s="13">
        <f t="shared" si="14"/>
        <v>51.709632186449973</v>
      </c>
      <c r="I15" s="11">
        <f t="shared" si="21"/>
        <v>6.8024448000000017</v>
      </c>
      <c r="J15" s="15">
        <f t="shared" si="15"/>
        <v>31.025779311869982</v>
      </c>
      <c r="K15" s="14"/>
      <c r="L15" s="15"/>
      <c r="M15" s="11">
        <f t="shared" si="16"/>
        <v>510.51262500000007</v>
      </c>
      <c r="N15" s="13">
        <f t="shared" si="17"/>
        <v>64.420400000000015</v>
      </c>
      <c r="O15" s="11">
        <f t="shared" si="18"/>
        <v>638.14078125000015</v>
      </c>
      <c r="P15" s="13">
        <f t="shared" si="19"/>
        <v>733.86189843750014</v>
      </c>
      <c r="Q15" s="9"/>
      <c r="R15" s="11">
        <f t="shared" si="0"/>
        <v>13625.1573268805</v>
      </c>
      <c r="S15" s="11">
        <f t="shared" si="1"/>
        <v>681.25786634402505</v>
      </c>
      <c r="T15" s="13">
        <f t="shared" si="2"/>
        <v>817.50943961282996</v>
      </c>
      <c r="U15" s="11">
        <f t="shared" si="3"/>
        <v>1362.5157326880501</v>
      </c>
      <c r="V15" s="14">
        <f t="shared" si="4"/>
        <v>48.64</v>
      </c>
      <c r="W15" s="11">
        <f t="shared" si="20"/>
        <v>34.778222229000001</v>
      </c>
      <c r="X15" s="11">
        <f t="shared" si="5"/>
        <v>14292.553415453527</v>
      </c>
      <c r="Y15" s="13">
        <f t="shared" si="6"/>
        <v>1429.2553415453528</v>
      </c>
      <c r="Z15" s="11">
        <f t="shared" si="7"/>
        <v>13625.1573268805</v>
      </c>
      <c r="AA15" s="15">
        <f t="shared" si="8"/>
        <v>7691.3414528415969</v>
      </c>
      <c r="AB15" s="11">
        <f t="shared" si="9"/>
        <v>5933.8158740389035</v>
      </c>
    </row>
    <row r="16" spans="2:28" x14ac:dyDescent="0.3">
      <c r="B16" s="9">
        <v>2028</v>
      </c>
      <c r="C16" s="9">
        <v>6</v>
      </c>
      <c r="D16" s="11">
        <f t="shared" si="10"/>
        <v>66.485494970507844</v>
      </c>
      <c r="E16" s="11">
        <f t="shared" si="11"/>
        <v>61.99046251200005</v>
      </c>
      <c r="F16" s="12">
        <f t="shared" si="12"/>
        <v>109.344326394264</v>
      </c>
      <c r="G16" s="13">
        <f t="shared" si="13"/>
        <v>39.36395750193504</v>
      </c>
      <c r="H16" s="13">
        <f t="shared" si="14"/>
        <v>52.485276669246716</v>
      </c>
      <c r="I16" s="11">
        <f t="shared" si="21"/>
        <v>7.3466403840000023</v>
      </c>
      <c r="J16" s="15">
        <f t="shared" si="15"/>
        <v>31.491166001548027</v>
      </c>
      <c r="K16" s="14"/>
      <c r="L16" s="14"/>
      <c r="M16" s="11">
        <f t="shared" si="16"/>
        <v>536.03825625000013</v>
      </c>
      <c r="N16" s="13">
        <f t="shared" si="17"/>
        <v>70.862440000000021</v>
      </c>
      <c r="O16" s="11">
        <f t="shared" si="18"/>
        <v>670.04782031250022</v>
      </c>
      <c r="P16" s="13">
        <f t="shared" si="19"/>
        <v>770.5549933593752</v>
      </c>
      <c r="Q16" s="9"/>
      <c r="R16" s="11">
        <f t="shared" si="0"/>
        <v>14851.430472832306</v>
      </c>
      <c r="S16" s="11">
        <f t="shared" si="1"/>
        <v>742.57152364161539</v>
      </c>
      <c r="T16" s="13">
        <f t="shared" si="2"/>
        <v>891.08582836993833</v>
      </c>
      <c r="U16" s="11">
        <f t="shared" si="3"/>
        <v>1485.1430472832308</v>
      </c>
      <c r="V16" s="14">
        <f t="shared" si="4"/>
        <v>48.64</v>
      </c>
      <c r="W16" s="11">
        <f t="shared" si="20"/>
        <v>35.821568895870001</v>
      </c>
      <c r="X16" s="11">
        <f t="shared" si="5"/>
        <v>15581.183565369793</v>
      </c>
      <c r="Y16" s="13">
        <f t="shared" si="6"/>
        <v>1558.1183565369793</v>
      </c>
      <c r="Z16" s="11">
        <f t="shared" si="7"/>
        <v>14851.430472832306</v>
      </c>
      <c r="AA16" s="15">
        <f t="shared" si="8"/>
        <v>8348.3921241766093</v>
      </c>
      <c r="AB16" s="11">
        <f t="shared" si="9"/>
        <v>6503.0383486556966</v>
      </c>
    </row>
    <row r="17" spans="2:28" x14ac:dyDescent="0.3">
      <c r="B17" s="9">
        <v>2029</v>
      </c>
      <c r="C17" s="9">
        <v>7</v>
      </c>
      <c r="D17" s="11">
        <f t="shared" si="10"/>
        <v>69.809769719033241</v>
      </c>
      <c r="E17" s="11">
        <f t="shared" si="11"/>
        <v>68.189508763200067</v>
      </c>
      <c r="F17" s="12">
        <f t="shared" si="12"/>
        <v>110.98449129017796</v>
      </c>
      <c r="G17" s="13">
        <f t="shared" si="13"/>
        <v>39.954416864464065</v>
      </c>
      <c r="H17" s="13">
        <f t="shared" si="14"/>
        <v>53.272555819285408</v>
      </c>
      <c r="I17" s="11">
        <f t="shared" si="21"/>
        <v>7.9343716147200034</v>
      </c>
      <c r="J17" s="15">
        <f t="shared" si="15"/>
        <v>31.963533491571244</v>
      </c>
      <c r="K17" s="14"/>
      <c r="L17" s="14"/>
      <c r="M17" s="11">
        <f t="shared" si="16"/>
        <v>562.84016906250019</v>
      </c>
      <c r="N17" s="13">
        <f t="shared" si="17"/>
        <v>77.948684000000029</v>
      </c>
      <c r="O17" s="11">
        <f t="shared" si="18"/>
        <v>703.55021132812522</v>
      </c>
      <c r="P17" s="13">
        <f t="shared" si="19"/>
        <v>809.08274302734389</v>
      </c>
      <c r="Q17" s="9"/>
      <c r="R17" s="11">
        <f t="shared" si="0"/>
        <v>16196.371918129193</v>
      </c>
      <c r="S17" s="11">
        <f t="shared" si="1"/>
        <v>809.81859590645968</v>
      </c>
      <c r="T17" s="13">
        <f t="shared" si="2"/>
        <v>971.7823150877515</v>
      </c>
      <c r="U17" s="11">
        <f t="shared" si="3"/>
        <v>1619.6371918129194</v>
      </c>
      <c r="V17" s="14">
        <f t="shared" si="4"/>
        <v>48.64</v>
      </c>
      <c r="W17" s="11">
        <f t="shared" si="20"/>
        <v>36.896215962746105</v>
      </c>
      <c r="X17" s="11">
        <f t="shared" si="5"/>
        <v>16994.446729998399</v>
      </c>
      <c r="Y17" s="13">
        <f t="shared" si="6"/>
        <v>1699.4446729998399</v>
      </c>
      <c r="Z17" s="11">
        <f t="shared" si="7"/>
        <v>16196.371918129193</v>
      </c>
      <c r="AA17" s="15">
        <f t="shared" si="8"/>
        <v>9067.7938324629922</v>
      </c>
      <c r="AB17" s="11">
        <f t="shared" si="9"/>
        <v>7128.5780856662004</v>
      </c>
    </row>
    <row r="18" spans="2:28" x14ac:dyDescent="0.3">
      <c r="B18" s="9">
        <v>2030</v>
      </c>
      <c r="C18" s="9">
        <v>8</v>
      </c>
      <c r="D18" s="11">
        <f t="shared" si="10"/>
        <v>73.3002582049849</v>
      </c>
      <c r="E18" s="11">
        <f t="shared" si="11"/>
        <v>75.008459639520083</v>
      </c>
      <c r="F18" s="12">
        <f t="shared" si="12"/>
        <v>112.64925865953062</v>
      </c>
      <c r="G18" s="13">
        <f t="shared" si="13"/>
        <v>40.553733117431022</v>
      </c>
      <c r="H18" s="13">
        <f t="shared" si="14"/>
        <v>54.071644156574685</v>
      </c>
      <c r="I18" s="11">
        <f t="shared" si="21"/>
        <v>8.5691213438976046</v>
      </c>
      <c r="J18" s="15">
        <f t="shared" si="15"/>
        <v>32.442986493944808</v>
      </c>
      <c r="K18" s="14"/>
      <c r="L18" s="14"/>
      <c r="M18" s="11">
        <f t="shared" si="16"/>
        <v>590.98217751562527</v>
      </c>
      <c r="N18" s="13">
        <f t="shared" si="17"/>
        <v>85.743552400000041</v>
      </c>
      <c r="O18" s="11">
        <f t="shared" si="18"/>
        <v>738.72772189453156</v>
      </c>
      <c r="P18" s="13">
        <f t="shared" si="19"/>
        <v>849.53688017871127</v>
      </c>
      <c r="Q18" s="9"/>
      <c r="R18" s="11">
        <f t="shared" si="0"/>
        <v>17672.172284682616</v>
      </c>
      <c r="S18" s="11">
        <f t="shared" si="1"/>
        <v>883.60861423413087</v>
      </c>
      <c r="T18" s="13">
        <f t="shared" si="2"/>
        <v>1060.330337080957</v>
      </c>
      <c r="U18" s="11">
        <f t="shared" si="3"/>
        <v>1767.2172284682617</v>
      </c>
      <c r="V18" s="14">
        <f t="shared" si="4"/>
        <v>48.64</v>
      </c>
      <c r="W18" s="11">
        <f t="shared" si="20"/>
        <v>38.003102441628492</v>
      </c>
      <c r="X18" s="11">
        <f t="shared" si="5"/>
        <v>18545.144001358374</v>
      </c>
      <c r="Y18" s="13">
        <f t="shared" si="6"/>
        <v>1854.5144001358376</v>
      </c>
      <c r="Z18" s="11">
        <f t="shared" si="7"/>
        <v>17672.172284682616</v>
      </c>
      <c r="AA18" s="15">
        <f t="shared" si="8"/>
        <v>9855.9271298450021</v>
      </c>
      <c r="AB18" s="11">
        <f t="shared" si="9"/>
        <v>7816.2451548376139</v>
      </c>
    </row>
    <row r="19" spans="2:28" x14ac:dyDescent="0.3">
      <c r="B19" s="9">
        <v>2031</v>
      </c>
      <c r="C19" s="9">
        <v>9</v>
      </c>
      <c r="D19" s="11">
        <f t="shared" si="10"/>
        <v>76.965271115234145</v>
      </c>
      <c r="E19" s="11">
        <f t="shared" si="11"/>
        <v>82.5093056034721</v>
      </c>
      <c r="F19" s="12">
        <f t="shared" si="12"/>
        <v>114.33899753942356</v>
      </c>
      <c r="G19" s="13">
        <f t="shared" si="13"/>
        <v>41.162039114192481</v>
      </c>
      <c r="H19" s="13">
        <f t="shared" si="14"/>
        <v>54.882718818923301</v>
      </c>
      <c r="I19" s="11">
        <f t="shared" si="21"/>
        <v>9.2546510514094145</v>
      </c>
      <c r="J19" s="15">
        <f t="shared" si="15"/>
        <v>32.929631291353978</v>
      </c>
      <c r="K19" s="14"/>
      <c r="L19" s="14"/>
      <c r="M19" s="11">
        <f t="shared" si="16"/>
        <v>620.53128639140652</v>
      </c>
      <c r="N19" s="13">
        <f t="shared" si="17"/>
        <v>94.317907640000058</v>
      </c>
      <c r="O19" s="11">
        <f t="shared" si="18"/>
        <v>775.66410798925813</v>
      </c>
      <c r="P19" s="13">
        <f t="shared" si="19"/>
        <v>892.01372418764674</v>
      </c>
      <c r="Q19" s="9"/>
      <c r="R19" s="11">
        <f t="shared" si="0"/>
        <v>19292.330758836091</v>
      </c>
      <c r="S19" s="11">
        <f t="shared" si="1"/>
        <v>964.61653794180461</v>
      </c>
      <c r="T19" s="13">
        <f t="shared" si="2"/>
        <v>1157.5398455301654</v>
      </c>
      <c r="U19" s="11">
        <f t="shared" si="3"/>
        <v>1929.2330758836092</v>
      </c>
      <c r="V19" s="14">
        <f t="shared" si="4"/>
        <v>48.64</v>
      </c>
      <c r="W19" s="11">
        <f t="shared" si="20"/>
        <v>39.143195514877348</v>
      </c>
      <c r="X19" s="11">
        <f t="shared" si="5"/>
        <v>20247.450492292774</v>
      </c>
      <c r="Y19" s="13">
        <f t="shared" si="6"/>
        <v>2024.7450492292774</v>
      </c>
      <c r="Z19" s="11">
        <f t="shared" si="7"/>
        <v>19292.330758836091</v>
      </c>
      <c r="AA19" s="15">
        <f t="shared" si="8"/>
        <v>10719.859622421942</v>
      </c>
      <c r="AB19" s="11">
        <f t="shared" si="9"/>
        <v>8572.4711364141494</v>
      </c>
    </row>
    <row r="20" spans="2:28" x14ac:dyDescent="0.3">
      <c r="B20" s="9">
        <v>2032</v>
      </c>
      <c r="C20" s="9">
        <v>10</v>
      </c>
      <c r="D20" s="11">
        <f t="shared" si="10"/>
        <v>80.81353467099585</v>
      </c>
      <c r="E20" s="11">
        <f t="shared" si="11"/>
        <v>90.760236163819314</v>
      </c>
      <c r="F20" s="12">
        <f t="shared" si="12"/>
        <v>116.0540825025149</v>
      </c>
      <c r="G20" s="13">
        <f t="shared" si="13"/>
        <v>41.779469700905366</v>
      </c>
      <c r="H20" s="13">
        <f t="shared" si="14"/>
        <v>55.705959601207148</v>
      </c>
      <c r="I20" s="11">
        <f t="shared" si="21"/>
        <v>9.9950231355221675</v>
      </c>
      <c r="J20" s="15">
        <f t="shared" si="15"/>
        <v>33.42357576072429</v>
      </c>
      <c r="K20" s="14"/>
      <c r="L20" s="16">
        <f>600*(1+$E$4)^(C20)</f>
        <v>696.32449501508916</v>
      </c>
      <c r="M20" s="11">
        <f t="shared" si="16"/>
        <v>651.55785071097682</v>
      </c>
      <c r="N20" s="13">
        <f t="shared" si="17"/>
        <v>103.74969840400007</v>
      </c>
      <c r="O20" s="11">
        <f t="shared" si="18"/>
        <v>814.44731338872111</v>
      </c>
      <c r="P20" s="13">
        <f t="shared" si="19"/>
        <v>936.61441039702925</v>
      </c>
      <c r="Q20" s="17">
        <v>200</v>
      </c>
      <c r="R20" s="11">
        <f t="shared" si="0"/>
        <v>21071.799795315656</v>
      </c>
      <c r="S20" s="11">
        <f t="shared" si="1"/>
        <v>1053.5899897657828</v>
      </c>
      <c r="T20" s="13">
        <f t="shared" si="2"/>
        <v>1264.3079877189393</v>
      </c>
      <c r="U20" s="11">
        <f t="shared" si="3"/>
        <v>2107.1799795315656</v>
      </c>
      <c r="V20" s="14">
        <f t="shared" si="4"/>
        <v>48.64</v>
      </c>
      <c r="W20" s="11">
        <f t="shared" si="20"/>
        <v>40.317491380323666</v>
      </c>
      <c r="X20" s="11">
        <f t="shared" si="5"/>
        <v>22117.067276461763</v>
      </c>
      <c r="Y20" s="13">
        <f t="shared" si="6"/>
        <v>2211.7067276461762</v>
      </c>
      <c r="Z20" s="11">
        <f t="shared" si="7"/>
        <v>21071.799795315656</v>
      </c>
      <c r="AA20" s="15">
        <f t="shared" si="8"/>
        <v>11667.422334174938</v>
      </c>
      <c r="AB20" s="11">
        <f t="shared" si="9"/>
        <v>9404.3774611407171</v>
      </c>
    </row>
  </sheetData>
  <mergeCells count="7">
    <mergeCell ref="Z8:AB8"/>
    <mergeCell ref="D8:E8"/>
    <mergeCell ref="G8:H8"/>
    <mergeCell ref="K5:L5"/>
    <mergeCell ref="G2:H2"/>
    <mergeCell ref="O8:P8"/>
    <mergeCell ref="M8:N8"/>
  </mergeCells>
  <pageMargins left="0.7" right="0.7" top="0.75" bottom="0.75" header="0.3" footer="0.3"/>
  <ignoredErrors>
    <ignoredError sqref="N11:N20 AA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7287A-A5F0-48ED-BD71-97D04BB4A227}">
  <dimension ref="B2:AL23"/>
  <sheetViews>
    <sheetView workbookViewId="0">
      <selection activeCell="AA14" sqref="AA14"/>
    </sheetView>
  </sheetViews>
  <sheetFormatPr defaultRowHeight="14.4" x14ac:dyDescent="0.3"/>
  <cols>
    <col min="1" max="1" width="15.44140625" customWidth="1"/>
    <col min="2" max="2" width="9.44140625" customWidth="1"/>
    <col min="4" max="4" width="10.44140625" hidden="1" customWidth="1"/>
    <col min="5" max="5" width="11.5546875" hidden="1" customWidth="1"/>
    <col min="6" max="6" width="0" hidden="1" customWidth="1"/>
    <col min="7" max="7" width="10.44140625" hidden="1" customWidth="1"/>
    <col min="8" max="8" width="11.5546875" hidden="1" customWidth="1"/>
    <col min="9" max="9" width="24.77734375" hidden="1" customWidth="1"/>
    <col min="10" max="10" width="13" hidden="1" customWidth="1"/>
    <col min="11" max="11" width="22.44140625" hidden="1" customWidth="1"/>
    <col min="12" max="12" width="14.44140625" bestFit="1" customWidth="1"/>
    <col min="13" max="13" width="16.21875" hidden="1" customWidth="1"/>
    <col min="14" max="14" width="17.33203125" hidden="1" customWidth="1"/>
    <col min="15" max="15" width="19.21875" hidden="1" customWidth="1"/>
    <col min="16" max="16" width="15.77734375" hidden="1" customWidth="1"/>
    <col min="17" max="17" width="19.6640625" bestFit="1" customWidth="1"/>
    <col min="18" max="18" width="16.44140625" hidden="1" customWidth="1"/>
    <col min="19" max="19" width="11.5546875" hidden="1" customWidth="1"/>
    <col min="20" max="20" width="15.33203125" hidden="1" customWidth="1"/>
    <col min="21" max="21" width="15.77734375" hidden="1" customWidth="1"/>
    <col min="22" max="22" width="14.109375" hidden="1" customWidth="1"/>
    <col min="23" max="23" width="15.109375" hidden="1" customWidth="1"/>
    <col min="24" max="24" width="14.88671875" hidden="1" customWidth="1"/>
    <col min="25" max="25" width="0" hidden="1" customWidth="1"/>
    <col min="26" max="26" width="11.5546875" bestFit="1" customWidth="1"/>
    <col min="27" max="27" width="13.21875" bestFit="1" customWidth="1"/>
    <col min="28" max="28" width="11.88671875" bestFit="1" customWidth="1"/>
    <col min="29" max="29" width="13.6640625" bestFit="1" customWidth="1"/>
    <col min="30" max="30" width="13.6640625" customWidth="1"/>
    <col min="34" max="34" width="15.44140625" bestFit="1" customWidth="1"/>
    <col min="35" max="35" width="13.21875" bestFit="1" customWidth="1"/>
    <col min="36" max="36" width="12" bestFit="1" customWidth="1"/>
    <col min="37" max="37" width="14" customWidth="1"/>
  </cols>
  <sheetData>
    <row r="2" spans="2:38" x14ac:dyDescent="0.3">
      <c r="F2" t="s">
        <v>1</v>
      </c>
      <c r="G2" s="23" t="s">
        <v>16</v>
      </c>
      <c r="H2" s="23"/>
      <c r="AA2" t="s">
        <v>40</v>
      </c>
      <c r="AB2" s="4">
        <v>0.11</v>
      </c>
      <c r="AI2" t="s">
        <v>40</v>
      </c>
      <c r="AJ2" s="4">
        <v>0.11</v>
      </c>
    </row>
    <row r="3" spans="2:38" hidden="1" x14ac:dyDescent="0.3">
      <c r="G3" t="s">
        <v>17</v>
      </c>
      <c r="H3" t="s">
        <v>18</v>
      </c>
      <c r="K3" t="s">
        <v>11</v>
      </c>
      <c r="L3" s="4">
        <v>0.65</v>
      </c>
      <c r="P3" t="s">
        <v>31</v>
      </c>
      <c r="Q3">
        <v>2432</v>
      </c>
    </row>
    <row r="4" spans="2:38" hidden="1" x14ac:dyDescent="0.3">
      <c r="D4" t="s">
        <v>5</v>
      </c>
      <c r="E4" s="3">
        <v>1.4999999999999999E-2</v>
      </c>
      <c r="F4">
        <v>2020</v>
      </c>
      <c r="G4" s="2">
        <v>45</v>
      </c>
      <c r="H4" s="2">
        <v>30</v>
      </c>
      <c r="K4" t="s">
        <v>12</v>
      </c>
      <c r="L4" s="1">
        <f>E10/L3</f>
        <v>53.833846153846167</v>
      </c>
      <c r="M4" t="s">
        <v>14</v>
      </c>
      <c r="N4" s="1">
        <f>L4*2</f>
        <v>107.66769230769233</v>
      </c>
      <c r="P4" t="s">
        <v>32</v>
      </c>
      <c r="Q4" s="4">
        <v>0.02</v>
      </c>
    </row>
    <row r="5" spans="2:38" ht="14.4" hidden="1" customHeight="1" x14ac:dyDescent="0.3">
      <c r="F5">
        <v>2021</v>
      </c>
      <c r="G5" s="2">
        <f>G4*(1+5%)</f>
        <v>47.25</v>
      </c>
      <c r="H5" s="2">
        <f>H4*(1+8%)</f>
        <v>32.400000000000006</v>
      </c>
      <c r="K5" s="23" t="s">
        <v>19</v>
      </c>
      <c r="L5" s="23"/>
    </row>
    <row r="6" spans="2:38" x14ac:dyDescent="0.3">
      <c r="F6">
        <v>2022</v>
      </c>
      <c r="G6" s="2">
        <f>G5*(1+5%)</f>
        <v>49.612500000000004</v>
      </c>
      <c r="H6" s="2">
        <f>H5*(1+8%)</f>
        <v>34.992000000000012</v>
      </c>
      <c r="AA6" t="s">
        <v>41</v>
      </c>
      <c r="AB6">
        <f>(1+$AB$2)^(-1)</f>
        <v>0.9009009009009008</v>
      </c>
      <c r="AI6" t="s">
        <v>41</v>
      </c>
      <c r="AJ6">
        <f>(1+$AJ$2)^(-1)</f>
        <v>0.9009009009009008</v>
      </c>
    </row>
    <row r="8" spans="2:38" x14ac:dyDescent="0.3">
      <c r="B8" s="9" t="s">
        <v>1</v>
      </c>
      <c r="C8" s="21" t="s">
        <v>0</v>
      </c>
      <c r="D8" s="22" t="s">
        <v>2</v>
      </c>
      <c r="E8" s="22"/>
      <c r="F8" s="9" t="s">
        <v>7</v>
      </c>
      <c r="G8" s="22" t="s">
        <v>6</v>
      </c>
      <c r="H8" s="22"/>
      <c r="I8" s="9" t="s">
        <v>8</v>
      </c>
      <c r="J8" s="9" t="s">
        <v>9</v>
      </c>
      <c r="K8" s="9" t="s">
        <v>10</v>
      </c>
      <c r="L8" s="9" t="s">
        <v>13</v>
      </c>
      <c r="M8" s="22" t="s">
        <v>23</v>
      </c>
      <c r="N8" s="22"/>
      <c r="O8" s="22" t="s">
        <v>22</v>
      </c>
      <c r="P8" s="22"/>
      <c r="Q8" s="9" t="s">
        <v>15</v>
      </c>
      <c r="R8" s="9" t="s">
        <v>26</v>
      </c>
      <c r="S8" s="9" t="s">
        <v>27</v>
      </c>
      <c r="T8" s="9" t="s">
        <v>28</v>
      </c>
      <c r="U8" s="9" t="s">
        <v>29</v>
      </c>
      <c r="V8" s="9" t="s">
        <v>30</v>
      </c>
      <c r="W8" s="9" t="s">
        <v>33</v>
      </c>
      <c r="X8" s="9" t="s">
        <v>34</v>
      </c>
      <c r="Y8" s="9" t="s">
        <v>35</v>
      </c>
      <c r="Z8" s="22" t="s">
        <v>39</v>
      </c>
      <c r="AA8" s="22"/>
      <c r="AB8" s="22"/>
      <c r="AC8" s="19" t="s">
        <v>42</v>
      </c>
      <c r="AD8" s="19" t="s">
        <v>45</v>
      </c>
      <c r="AE8" s="9"/>
      <c r="AH8" s="22" t="s">
        <v>39</v>
      </c>
      <c r="AI8" s="22"/>
      <c r="AJ8" s="22"/>
      <c r="AK8" s="19" t="s">
        <v>42</v>
      </c>
      <c r="AL8" s="19" t="s">
        <v>45</v>
      </c>
    </row>
    <row r="9" spans="2:38" x14ac:dyDescent="0.3">
      <c r="B9" s="9"/>
      <c r="C9" s="9"/>
      <c r="D9" s="9" t="s">
        <v>3</v>
      </c>
      <c r="E9" s="9" t="s">
        <v>4</v>
      </c>
      <c r="F9" s="9"/>
      <c r="G9" s="9" t="s">
        <v>3</v>
      </c>
      <c r="H9" s="9" t="s">
        <v>4</v>
      </c>
      <c r="I9" s="9" t="s">
        <v>4</v>
      </c>
      <c r="J9" s="9"/>
      <c r="K9" s="9"/>
      <c r="L9" s="9"/>
      <c r="M9" s="9" t="s">
        <v>25</v>
      </c>
      <c r="N9" s="9" t="s">
        <v>24</v>
      </c>
      <c r="O9" s="9" t="s">
        <v>20</v>
      </c>
      <c r="P9" s="9" t="s">
        <v>21</v>
      </c>
      <c r="Q9" s="9"/>
      <c r="R9" s="9"/>
      <c r="S9" s="9"/>
      <c r="T9" s="9"/>
      <c r="U9" s="9"/>
      <c r="V9" s="9"/>
      <c r="W9" s="9"/>
      <c r="X9" s="9"/>
      <c r="Y9" s="9"/>
      <c r="Z9" s="9" t="s">
        <v>36</v>
      </c>
      <c r="AA9" s="9" t="s">
        <v>37</v>
      </c>
      <c r="AB9" s="9" t="s">
        <v>38</v>
      </c>
      <c r="AC9" s="9"/>
      <c r="AD9" s="9" t="s">
        <v>47</v>
      </c>
      <c r="AE9" s="20" t="s">
        <v>48</v>
      </c>
      <c r="AH9" s="9" t="s">
        <v>36</v>
      </c>
      <c r="AI9" s="9" t="s">
        <v>37</v>
      </c>
      <c r="AJ9" s="9" t="s">
        <v>38</v>
      </c>
      <c r="AK9" s="9"/>
      <c r="AL9" s="9"/>
    </row>
    <row r="10" spans="2:38" x14ac:dyDescent="0.3">
      <c r="B10" s="9">
        <v>2022</v>
      </c>
      <c r="C10" s="9">
        <v>0</v>
      </c>
      <c r="D10" s="11">
        <f>G6</f>
        <v>49.612500000000004</v>
      </c>
      <c r="E10" s="11">
        <f>H6</f>
        <v>34.992000000000012</v>
      </c>
      <c r="F10" s="12">
        <v>100</v>
      </c>
      <c r="G10" s="13">
        <v>36</v>
      </c>
      <c r="H10" s="13">
        <v>48</v>
      </c>
      <c r="I10" s="9"/>
      <c r="J10" s="9"/>
      <c r="K10" s="14">
        <v>150</v>
      </c>
      <c r="L10" s="14"/>
      <c r="M10" s="11">
        <v>400</v>
      </c>
      <c r="N10" s="13">
        <v>40</v>
      </c>
      <c r="O10" s="11">
        <v>500</v>
      </c>
      <c r="P10" s="13">
        <f>O10</f>
        <v>500</v>
      </c>
      <c r="Q10" s="14">
        <v>1000</v>
      </c>
      <c r="R10" s="11">
        <f>(D10*F10)+(E10*F10)+(I10*F10)</f>
        <v>8460.4500000000007</v>
      </c>
      <c r="S10" s="11">
        <f>5%*R10</f>
        <v>423.02250000000004</v>
      </c>
      <c r="T10" s="13">
        <f>R10*6%</f>
        <v>507.62700000000001</v>
      </c>
      <c r="U10" s="11">
        <f>R10*10%</f>
        <v>846.04500000000007</v>
      </c>
      <c r="V10" s="14">
        <f>$Q$3*$Q$4</f>
        <v>48.64</v>
      </c>
      <c r="W10" s="11">
        <v>30</v>
      </c>
      <c r="X10" s="11">
        <f>R10+S10+W10-V10</f>
        <v>8864.8325000000004</v>
      </c>
      <c r="Y10" s="13">
        <f>X10*10%</f>
        <v>886.48325000000011</v>
      </c>
      <c r="Z10" s="11">
        <f>R10</f>
        <v>8460.4500000000007</v>
      </c>
      <c r="AA10" s="15">
        <f>(D10*G10)+(E10*H10)+(I10*J10)+K10+M10+P10+T10+V10+Q10</f>
        <v>6071.9330000000018</v>
      </c>
      <c r="AB10" s="11">
        <f>Z10-AA10</f>
        <v>2388.5169999999989</v>
      </c>
      <c r="AC10" s="9">
        <f>$AB$6^C10</f>
        <v>1</v>
      </c>
      <c r="AD10" s="11">
        <f>Z10*AC10</f>
        <v>8460.4500000000007</v>
      </c>
      <c r="AE10" s="11">
        <f>AA10*AC10</f>
        <v>6071.9330000000018</v>
      </c>
      <c r="AH10" s="9">
        <v>8913.4724999999999</v>
      </c>
      <c r="AI10" s="9">
        <v>6563.2802500000016</v>
      </c>
      <c r="AJ10" s="9">
        <v>2350.1922499999982</v>
      </c>
      <c r="AK10" s="9">
        <f>$AJ$6^C10</f>
        <v>1</v>
      </c>
      <c r="AL10" s="11">
        <f>AJ10*AK10</f>
        <v>2350.1922499999982</v>
      </c>
    </row>
    <row r="11" spans="2:38" x14ac:dyDescent="0.3">
      <c r="B11" s="9">
        <v>2023</v>
      </c>
      <c r="C11" s="9">
        <v>1</v>
      </c>
      <c r="D11" s="11">
        <f>D10*(1+5%)</f>
        <v>52.093125000000008</v>
      </c>
      <c r="E11" s="11">
        <f>E10*(1+10%)</f>
        <v>38.491200000000013</v>
      </c>
      <c r="F11" s="12">
        <f>F10*(1+$E$4)</f>
        <v>101.49999999999999</v>
      </c>
      <c r="G11" s="13">
        <f>G10*(1+$E$4)</f>
        <v>36.54</v>
      </c>
      <c r="H11" s="13">
        <f>H10*(1+$E$4)</f>
        <v>48.72</v>
      </c>
      <c r="I11" s="9">
        <v>5</v>
      </c>
      <c r="J11" s="15">
        <f>H11*60%</f>
        <v>29.231999999999999</v>
      </c>
      <c r="K11" s="14"/>
      <c r="L11" s="14"/>
      <c r="M11" s="11">
        <f>M10*(1+5%)</f>
        <v>420</v>
      </c>
      <c r="N11" s="13">
        <f>N10*(1+10%)</f>
        <v>44</v>
      </c>
      <c r="O11" s="11">
        <f>O10*(1+5%)</f>
        <v>525</v>
      </c>
      <c r="P11" s="13">
        <f>O11*(1+15%)</f>
        <v>603.75</v>
      </c>
      <c r="Q11" s="9"/>
      <c r="R11" s="11">
        <f t="shared" ref="R11:R20" si="0">(D11*F11)+(E11*F11)+(I11*F11)</f>
        <v>9701.8089875000005</v>
      </c>
      <c r="S11" s="11">
        <f t="shared" ref="S11:S20" si="1">5%*R11</f>
        <v>485.09044937500005</v>
      </c>
      <c r="T11" s="13">
        <f t="shared" ref="T11:T20" si="2">R11*6%</f>
        <v>582.10853925000004</v>
      </c>
      <c r="U11" s="11">
        <f t="shared" ref="U11:U20" si="3">R11*10%</f>
        <v>970.1808987500001</v>
      </c>
      <c r="V11" s="14">
        <f t="shared" ref="V11:V20" si="4">$Q$3*$Q$4</f>
        <v>48.64</v>
      </c>
      <c r="W11" s="11">
        <f>W10*(1+3%)</f>
        <v>30.900000000000002</v>
      </c>
      <c r="X11" s="11">
        <f t="shared" ref="X11:X20" si="5">R11+S11+W11-V11</f>
        <v>10169.159436875001</v>
      </c>
      <c r="Y11" s="13">
        <f t="shared" ref="Y11:Y20" si="6">X11*10%</f>
        <v>1016.9159436875002</v>
      </c>
      <c r="Z11" s="11">
        <f t="shared" ref="Z11:Z20" si="7">R11</f>
        <v>9701.8089875000005</v>
      </c>
      <c r="AA11" s="15">
        <f t="shared" ref="AA11:AA20" si="8">(D11*G11)+(E11*H11)+(I11*J11)+K11+M11+P11+T11+V11</f>
        <v>5579.4325907500006</v>
      </c>
      <c r="AB11" s="11">
        <f t="shared" ref="AB11:AB20" si="9">Z11-AA11</f>
        <v>4122.3763967499999</v>
      </c>
      <c r="AC11" s="9">
        <f t="shared" ref="AC11:AC20" si="10">$AB$6^C11</f>
        <v>0.9009009009009008</v>
      </c>
      <c r="AD11" s="11">
        <f t="shared" ref="AD11:AD20" si="11">Z11*AC11</f>
        <v>8740.368457207207</v>
      </c>
      <c r="AE11" s="11">
        <f t="shared" ref="AE11:AE20" si="12">AA11*AC11</f>
        <v>5026.5158475225226</v>
      </c>
      <c r="AH11" s="9">
        <v>10217.799436875001</v>
      </c>
      <c r="AI11" s="9">
        <v>6307.8845344375013</v>
      </c>
      <c r="AJ11" s="9">
        <v>3909.9149024374992</v>
      </c>
      <c r="AK11" s="9">
        <f t="shared" ref="AK11:AK20" si="13">$AJ$6^C11</f>
        <v>0.9009009009009008</v>
      </c>
      <c r="AL11" s="11">
        <f t="shared" ref="AL11:AL20" si="14">AJ11*AK11</f>
        <v>3522.4458580518008</v>
      </c>
    </row>
    <row r="12" spans="2:38" x14ac:dyDescent="0.3">
      <c r="B12" s="9">
        <v>2024</v>
      </c>
      <c r="C12" s="9">
        <v>2</v>
      </c>
      <c r="D12" s="11">
        <f t="shared" ref="D12:D20" si="15">D11*(1+5%)</f>
        <v>54.697781250000013</v>
      </c>
      <c r="E12" s="11">
        <f t="shared" ref="E12:E20" si="16">E11*(1+10%)</f>
        <v>42.34032000000002</v>
      </c>
      <c r="F12" s="12">
        <f t="shared" ref="F12:H20" si="17">F11*(1+$E$4)</f>
        <v>103.02249999999998</v>
      </c>
      <c r="G12" s="13">
        <f t="shared" si="17"/>
        <v>37.088099999999997</v>
      </c>
      <c r="H12" s="13">
        <f t="shared" si="17"/>
        <v>49.450799999999994</v>
      </c>
      <c r="I12" s="11">
        <f>I11*(1+8%)</f>
        <v>5.4</v>
      </c>
      <c r="J12" s="15">
        <f t="shared" ref="J12:J20" si="18">H12*60%</f>
        <v>29.670479999999994</v>
      </c>
      <c r="K12" s="14"/>
      <c r="L12" s="14"/>
      <c r="M12" s="11">
        <f t="shared" ref="M12:M20" si="19">M11*(1+5%)</f>
        <v>441</v>
      </c>
      <c r="N12" s="13">
        <f t="shared" ref="N12:N20" si="20">N11*(1+10%)</f>
        <v>48.400000000000006</v>
      </c>
      <c r="O12" s="11">
        <f t="shared" ref="O12:O20" si="21">O11*(1+5%)</f>
        <v>551.25</v>
      </c>
      <c r="P12" s="13">
        <f t="shared" ref="P12:P20" si="22">O12*(1+15%)</f>
        <v>633.9375</v>
      </c>
      <c r="Q12" s="9"/>
      <c r="R12" s="11">
        <f t="shared" si="0"/>
        <v>10553.429286028126</v>
      </c>
      <c r="S12" s="11">
        <f t="shared" si="1"/>
        <v>527.67146430140633</v>
      </c>
      <c r="T12" s="13">
        <f t="shared" si="2"/>
        <v>633.20575716168753</v>
      </c>
      <c r="U12" s="11">
        <f t="shared" si="3"/>
        <v>1055.3429286028127</v>
      </c>
      <c r="V12" s="14">
        <f t="shared" si="4"/>
        <v>48.64</v>
      </c>
      <c r="W12" s="11">
        <f t="shared" ref="W12:W20" si="23">W11*(1+3%)</f>
        <v>31.827000000000002</v>
      </c>
      <c r="X12" s="11">
        <f t="shared" si="5"/>
        <v>11064.287750329531</v>
      </c>
      <c r="Y12" s="13">
        <f t="shared" si="6"/>
        <v>1106.4287750329531</v>
      </c>
      <c r="Z12" s="11">
        <f t="shared" si="7"/>
        <v>10553.429286028126</v>
      </c>
      <c r="AA12" s="15">
        <f t="shared" si="8"/>
        <v>6039.4033261958139</v>
      </c>
      <c r="AB12" s="11">
        <f t="shared" si="9"/>
        <v>4514.0259598323119</v>
      </c>
      <c r="AC12" s="9">
        <f t="shared" si="10"/>
        <v>0.8116224332440547</v>
      </c>
      <c r="AD12" s="11">
        <f t="shared" si="11"/>
        <v>8565.3999561952151</v>
      </c>
      <c r="AE12" s="11">
        <f t="shared" si="12"/>
        <v>4901.715222949284</v>
      </c>
      <c r="AH12" s="9">
        <v>11112.927750329531</v>
      </c>
      <c r="AI12" s="9">
        <v>6846.1803092287673</v>
      </c>
      <c r="AJ12" s="9">
        <v>4266.7474411007634</v>
      </c>
      <c r="AK12" s="9">
        <f t="shared" si="13"/>
        <v>0.8116224332440547</v>
      </c>
      <c r="AL12" s="11">
        <f t="shared" si="14"/>
        <v>3462.9879401840453</v>
      </c>
    </row>
    <row r="13" spans="2:38" x14ac:dyDescent="0.3">
      <c r="B13" s="9">
        <v>2025</v>
      </c>
      <c r="C13" s="9">
        <v>3</v>
      </c>
      <c r="D13" s="11">
        <f t="shared" si="15"/>
        <v>57.432670312500015</v>
      </c>
      <c r="E13" s="11">
        <f t="shared" si="16"/>
        <v>46.574352000000026</v>
      </c>
      <c r="F13" s="12">
        <f t="shared" si="17"/>
        <v>104.56783749999997</v>
      </c>
      <c r="G13" s="13">
        <f t="shared" si="17"/>
        <v>37.644421499999993</v>
      </c>
      <c r="H13" s="13">
        <f t="shared" si="17"/>
        <v>50.192561999999988</v>
      </c>
      <c r="I13" s="11">
        <f t="shared" ref="I13:I20" si="24">I12*(1+8%)</f>
        <v>5.8320000000000007</v>
      </c>
      <c r="J13" s="15">
        <f t="shared" si="18"/>
        <v>30.115537199999991</v>
      </c>
      <c r="K13" s="14"/>
      <c r="L13" s="14"/>
      <c r="M13" s="11">
        <f t="shared" si="19"/>
        <v>463.05</v>
      </c>
      <c r="N13" s="13">
        <f t="shared" si="20"/>
        <v>53.240000000000009</v>
      </c>
      <c r="O13" s="11">
        <f t="shared" si="21"/>
        <v>578.8125</v>
      </c>
      <c r="P13" s="13">
        <f t="shared" si="22"/>
        <v>665.63437499999998</v>
      </c>
      <c r="Q13" s="9"/>
      <c r="R13" s="11">
        <f t="shared" si="0"/>
        <v>11485.629036332375</v>
      </c>
      <c r="S13" s="11">
        <f t="shared" si="1"/>
        <v>574.28145181661876</v>
      </c>
      <c r="T13" s="13">
        <f t="shared" si="2"/>
        <v>689.13774217994251</v>
      </c>
      <c r="U13" s="11">
        <f t="shared" si="3"/>
        <v>1148.5629036332375</v>
      </c>
      <c r="V13" s="14">
        <f t="shared" si="4"/>
        <v>48.64</v>
      </c>
      <c r="W13" s="11">
        <f t="shared" si="23"/>
        <v>32.78181</v>
      </c>
      <c r="X13" s="11">
        <f t="shared" si="5"/>
        <v>12044.052298148996</v>
      </c>
      <c r="Y13" s="13">
        <f t="shared" si="6"/>
        <v>1204.4052298148997</v>
      </c>
      <c r="Z13" s="11">
        <f t="shared" si="7"/>
        <v>11485.629036332375</v>
      </c>
      <c r="AA13" s="15">
        <f>(D13*G13)+(E13*H13)+(I13*J13)+K13+M13+P13+T13+V13</f>
        <v>6541.8016296144542</v>
      </c>
      <c r="AB13" s="11">
        <f t="shared" si="9"/>
        <v>4943.8274067179209</v>
      </c>
      <c r="AC13" s="9">
        <f t="shared" si="10"/>
        <v>0.73119138130095007</v>
      </c>
      <c r="AD13" s="11">
        <f t="shared" si="11"/>
        <v>8398.1929601861702</v>
      </c>
      <c r="AE13" s="11">
        <f t="shared" si="12"/>
        <v>4783.3089697545993</v>
      </c>
      <c r="AH13" s="9">
        <v>12092.692298148995</v>
      </c>
      <c r="AI13" s="9">
        <v>7435.2256052629546</v>
      </c>
      <c r="AJ13" s="9">
        <v>4657.4666928860406</v>
      </c>
      <c r="AK13" s="9">
        <f t="shared" si="13"/>
        <v>0.73119138130095007</v>
      </c>
      <c r="AL13" s="11">
        <f t="shared" si="14"/>
        <v>3405.4995045345117</v>
      </c>
    </row>
    <row r="14" spans="2:38" x14ac:dyDescent="0.3">
      <c r="B14" s="9">
        <v>2026</v>
      </c>
      <c r="C14" s="9">
        <v>4</v>
      </c>
      <c r="D14" s="11">
        <f t="shared" si="15"/>
        <v>60.304303828125022</v>
      </c>
      <c r="E14" s="11">
        <f t="shared" si="16"/>
        <v>51.231787200000035</v>
      </c>
      <c r="F14" s="12">
        <f t="shared" si="17"/>
        <v>106.13635506249996</v>
      </c>
      <c r="G14" s="13">
        <f t="shared" si="17"/>
        <v>38.209087822499988</v>
      </c>
      <c r="H14" s="13">
        <f t="shared" si="17"/>
        <v>50.94545042999998</v>
      </c>
      <c r="I14" s="11">
        <f t="shared" si="24"/>
        <v>6.298560000000001</v>
      </c>
      <c r="J14" s="15">
        <f t="shared" si="18"/>
        <v>30.567270257999986</v>
      </c>
      <c r="K14" s="14"/>
      <c r="L14" s="15">
        <f>600*(1+$E$4)^(C14)</f>
        <v>636.81813037499967</v>
      </c>
      <c r="M14" s="11">
        <f t="shared" si="19"/>
        <v>486.20250000000004</v>
      </c>
      <c r="N14" s="13">
        <f t="shared" si="20"/>
        <v>58.564000000000014</v>
      </c>
      <c r="O14" s="11">
        <f t="shared" si="21"/>
        <v>607.75312500000007</v>
      </c>
      <c r="P14" s="13">
        <f t="shared" si="22"/>
        <v>698.91609375000007</v>
      </c>
      <c r="Q14" s="9"/>
      <c r="R14" s="11">
        <f t="shared" si="0"/>
        <v>12506.540360186858</v>
      </c>
      <c r="S14" s="11">
        <f t="shared" si="1"/>
        <v>625.32701800934296</v>
      </c>
      <c r="T14" s="13">
        <f t="shared" si="2"/>
        <v>750.39242161121149</v>
      </c>
      <c r="U14" s="11">
        <f t="shared" si="3"/>
        <v>1250.6540360186859</v>
      </c>
      <c r="V14" s="14">
        <f t="shared" si="4"/>
        <v>48.64</v>
      </c>
      <c r="W14" s="11">
        <f t="shared" si="23"/>
        <v>33.765264299999998</v>
      </c>
      <c r="X14" s="11">
        <f t="shared" si="5"/>
        <v>13116.992642496201</v>
      </c>
      <c r="Y14" s="13">
        <f t="shared" si="6"/>
        <v>1311.6992642496202</v>
      </c>
      <c r="Z14" s="11">
        <f t="shared" si="7"/>
        <v>12506.540360186858</v>
      </c>
      <c r="AA14" s="15">
        <f>(D14*G14)+(E14*H14)+(I14*J14)+K14+M14+P14+T14+V14+L14</f>
        <v>7727.6978477739012</v>
      </c>
      <c r="AB14" s="11">
        <f t="shared" si="9"/>
        <v>4778.8425124129571</v>
      </c>
      <c r="AC14" s="9">
        <f t="shared" si="10"/>
        <v>0.65873097414500004</v>
      </c>
      <c r="AD14" s="11">
        <f t="shared" si="11"/>
        <v>8238.4455146496493</v>
      </c>
      <c r="AE14" s="11">
        <f t="shared" si="12"/>
        <v>5090.4739311623225</v>
      </c>
      <c r="AH14" s="9">
        <v>13165.632642496201</v>
      </c>
      <c r="AI14" s="9">
        <v>8716.9790727856725</v>
      </c>
      <c r="AJ14" s="9">
        <v>4448.6535697105282</v>
      </c>
      <c r="AK14" s="9">
        <f t="shared" si="13"/>
        <v>0.65873097414500004</v>
      </c>
      <c r="AL14" s="11">
        <f t="shared" si="14"/>
        <v>2930.4658996090479</v>
      </c>
    </row>
    <row r="15" spans="2:38" x14ac:dyDescent="0.3">
      <c r="B15" s="9">
        <v>2027</v>
      </c>
      <c r="C15" s="9">
        <v>5</v>
      </c>
      <c r="D15" s="11">
        <f t="shared" si="15"/>
        <v>63.319519019531278</v>
      </c>
      <c r="E15" s="11">
        <f t="shared" si="16"/>
        <v>56.354965920000041</v>
      </c>
      <c r="F15" s="12">
        <f t="shared" si="17"/>
        <v>107.72840038843745</v>
      </c>
      <c r="G15" s="13">
        <f t="shared" si="17"/>
        <v>38.782224139837481</v>
      </c>
      <c r="H15" s="13">
        <f t="shared" si="17"/>
        <v>51.709632186449973</v>
      </c>
      <c r="I15" s="11">
        <f t="shared" si="24"/>
        <v>6.8024448000000017</v>
      </c>
      <c r="J15" s="15">
        <f t="shared" si="18"/>
        <v>31.025779311869982</v>
      </c>
      <c r="K15" s="14"/>
      <c r="L15" s="15"/>
      <c r="M15" s="11">
        <f t="shared" si="19"/>
        <v>510.51262500000007</v>
      </c>
      <c r="N15" s="13">
        <f t="shared" si="20"/>
        <v>64.420400000000015</v>
      </c>
      <c r="O15" s="11">
        <f t="shared" si="21"/>
        <v>638.14078125000015</v>
      </c>
      <c r="P15" s="13">
        <f t="shared" si="22"/>
        <v>733.86189843750014</v>
      </c>
      <c r="Q15" s="9"/>
      <c r="R15" s="11">
        <f t="shared" si="0"/>
        <v>13625.1573268805</v>
      </c>
      <c r="S15" s="11">
        <f t="shared" si="1"/>
        <v>681.25786634402505</v>
      </c>
      <c r="T15" s="13">
        <f t="shared" si="2"/>
        <v>817.50943961282996</v>
      </c>
      <c r="U15" s="11">
        <f t="shared" si="3"/>
        <v>1362.5157326880501</v>
      </c>
      <c r="V15" s="14">
        <f t="shared" si="4"/>
        <v>48.64</v>
      </c>
      <c r="W15" s="11">
        <f t="shared" si="23"/>
        <v>34.778222229000001</v>
      </c>
      <c r="X15" s="11">
        <f t="shared" si="5"/>
        <v>14292.553415453527</v>
      </c>
      <c r="Y15" s="13">
        <f t="shared" si="6"/>
        <v>1429.2553415453528</v>
      </c>
      <c r="Z15" s="11">
        <f t="shared" si="7"/>
        <v>13625.1573268805</v>
      </c>
      <c r="AA15" s="15">
        <f t="shared" si="8"/>
        <v>7691.3414528415969</v>
      </c>
      <c r="AB15" s="11">
        <f t="shared" si="9"/>
        <v>5933.8158740389035</v>
      </c>
      <c r="AC15" s="9">
        <f t="shared" si="10"/>
        <v>0.59345132805855849</v>
      </c>
      <c r="AD15" s="11">
        <f t="shared" si="11"/>
        <v>8085.8677106440318</v>
      </c>
      <c r="AE15" s="11">
        <f t="shared" si="12"/>
        <v>4564.436799740688</v>
      </c>
      <c r="AH15" s="9">
        <v>14341.193415453527</v>
      </c>
      <c r="AI15" s="9">
        <v>8786.6747161294716</v>
      </c>
      <c r="AJ15" s="9">
        <v>5554.518699324055</v>
      </c>
      <c r="AK15" s="9">
        <f t="shared" si="13"/>
        <v>0.59345132805855849</v>
      </c>
      <c r="AL15" s="11">
        <f t="shared" si="14"/>
        <v>3296.3364988399576</v>
      </c>
    </row>
    <row r="16" spans="2:38" x14ac:dyDescent="0.3">
      <c r="B16" s="9">
        <v>2028</v>
      </c>
      <c r="C16" s="9">
        <v>6</v>
      </c>
      <c r="D16" s="11">
        <f t="shared" si="15"/>
        <v>66.485494970507844</v>
      </c>
      <c r="E16" s="11">
        <f t="shared" si="16"/>
        <v>61.99046251200005</v>
      </c>
      <c r="F16" s="12">
        <f t="shared" si="17"/>
        <v>109.344326394264</v>
      </c>
      <c r="G16" s="13">
        <f t="shared" si="17"/>
        <v>39.36395750193504</v>
      </c>
      <c r="H16" s="13">
        <f t="shared" si="17"/>
        <v>52.485276669246716</v>
      </c>
      <c r="I16" s="11">
        <f t="shared" si="24"/>
        <v>7.3466403840000023</v>
      </c>
      <c r="J16" s="15">
        <f t="shared" si="18"/>
        <v>31.491166001548027</v>
      </c>
      <c r="K16" s="14"/>
      <c r="L16" s="14"/>
      <c r="M16" s="11">
        <f t="shared" si="19"/>
        <v>536.03825625000013</v>
      </c>
      <c r="N16" s="13">
        <f t="shared" si="20"/>
        <v>70.862440000000021</v>
      </c>
      <c r="O16" s="11">
        <f t="shared" si="21"/>
        <v>670.04782031250022</v>
      </c>
      <c r="P16" s="13">
        <f t="shared" si="22"/>
        <v>770.5549933593752</v>
      </c>
      <c r="Q16" s="9"/>
      <c r="R16" s="11">
        <f t="shared" si="0"/>
        <v>14851.430472832306</v>
      </c>
      <c r="S16" s="11">
        <f t="shared" si="1"/>
        <v>742.57152364161539</v>
      </c>
      <c r="T16" s="13">
        <f t="shared" si="2"/>
        <v>891.08582836993833</v>
      </c>
      <c r="U16" s="11">
        <f t="shared" si="3"/>
        <v>1485.1430472832308</v>
      </c>
      <c r="V16" s="14">
        <f t="shared" si="4"/>
        <v>48.64</v>
      </c>
      <c r="W16" s="11">
        <f t="shared" si="23"/>
        <v>35.821568895870001</v>
      </c>
      <c r="X16" s="11">
        <f t="shared" si="5"/>
        <v>15581.183565369793</v>
      </c>
      <c r="Y16" s="13">
        <f t="shared" si="6"/>
        <v>1558.1183565369793</v>
      </c>
      <c r="Z16" s="11">
        <f t="shared" si="7"/>
        <v>14851.430472832306</v>
      </c>
      <c r="AA16" s="15">
        <f t="shared" si="8"/>
        <v>8348.3921241766093</v>
      </c>
      <c r="AB16" s="11">
        <f t="shared" si="9"/>
        <v>6503.0383486556966</v>
      </c>
      <c r="AC16" s="9">
        <f t="shared" si="10"/>
        <v>0.53464083608879143</v>
      </c>
      <c r="AD16" s="11">
        <f t="shared" si="11"/>
        <v>7940.1812051096194</v>
      </c>
      <c r="AE16" s="11">
        <f t="shared" si="12"/>
        <v>4463.3913452668639</v>
      </c>
      <c r="AH16" s="9">
        <v>15629.823565369792</v>
      </c>
      <c r="AI16" s="9">
        <v>9561.0635717226178</v>
      </c>
      <c r="AJ16" s="9">
        <v>6068.7599936471743</v>
      </c>
      <c r="AK16" s="9">
        <f t="shared" si="13"/>
        <v>0.53464083608879143</v>
      </c>
      <c r="AL16" s="11">
        <f t="shared" si="14"/>
        <v>3244.6069170257338</v>
      </c>
    </row>
    <row r="17" spans="2:38" x14ac:dyDescent="0.3">
      <c r="B17" s="9">
        <v>2029</v>
      </c>
      <c r="C17" s="9">
        <v>7</v>
      </c>
      <c r="D17" s="11">
        <f t="shared" si="15"/>
        <v>69.809769719033241</v>
      </c>
      <c r="E17" s="11">
        <f t="shared" si="16"/>
        <v>68.189508763200067</v>
      </c>
      <c r="F17" s="12">
        <f t="shared" si="17"/>
        <v>110.98449129017796</v>
      </c>
      <c r="G17" s="13">
        <f t="shared" si="17"/>
        <v>39.954416864464065</v>
      </c>
      <c r="H17" s="13">
        <f t="shared" si="17"/>
        <v>53.272555819285408</v>
      </c>
      <c r="I17" s="11">
        <f t="shared" si="24"/>
        <v>7.9343716147200034</v>
      </c>
      <c r="J17" s="15">
        <f t="shared" si="18"/>
        <v>31.963533491571244</v>
      </c>
      <c r="K17" s="14"/>
      <c r="L17" s="14"/>
      <c r="M17" s="11">
        <f t="shared" si="19"/>
        <v>562.84016906250019</v>
      </c>
      <c r="N17" s="13">
        <f t="shared" si="20"/>
        <v>77.948684000000029</v>
      </c>
      <c r="O17" s="11">
        <f t="shared" si="21"/>
        <v>703.55021132812522</v>
      </c>
      <c r="P17" s="13">
        <f t="shared" si="22"/>
        <v>809.08274302734389</v>
      </c>
      <c r="Q17" s="9"/>
      <c r="R17" s="11">
        <f t="shared" si="0"/>
        <v>16196.371918129193</v>
      </c>
      <c r="S17" s="11">
        <f t="shared" si="1"/>
        <v>809.81859590645968</v>
      </c>
      <c r="T17" s="13">
        <f t="shared" si="2"/>
        <v>971.7823150877515</v>
      </c>
      <c r="U17" s="11">
        <f t="shared" si="3"/>
        <v>1619.6371918129194</v>
      </c>
      <c r="V17" s="14">
        <f t="shared" si="4"/>
        <v>48.64</v>
      </c>
      <c r="W17" s="11">
        <f t="shared" si="23"/>
        <v>36.896215962746105</v>
      </c>
      <c r="X17" s="11">
        <f t="shared" si="5"/>
        <v>16994.446729998399</v>
      </c>
      <c r="Y17" s="13">
        <f t="shared" si="6"/>
        <v>1699.4446729998399</v>
      </c>
      <c r="Z17" s="11">
        <f t="shared" si="7"/>
        <v>16196.371918129193</v>
      </c>
      <c r="AA17" s="15">
        <f t="shared" si="8"/>
        <v>9067.7938324629922</v>
      </c>
      <c r="AB17" s="11">
        <f t="shared" si="9"/>
        <v>7128.5780856662004</v>
      </c>
      <c r="AC17" s="9">
        <f t="shared" si="10"/>
        <v>0.48165841089080302</v>
      </c>
      <c r="AD17" s="11">
        <f t="shared" si="11"/>
        <v>7801.1187602825339</v>
      </c>
      <c r="AE17" s="11">
        <f t="shared" si="12"/>
        <v>4367.5791676295494</v>
      </c>
      <c r="AH17" s="9">
        <v>17043.086729998398</v>
      </c>
      <c r="AI17" s="9">
        <v>10410.299571786352</v>
      </c>
      <c r="AJ17" s="9">
        <v>6632.7871582120461</v>
      </c>
      <c r="AK17" s="9">
        <f t="shared" si="13"/>
        <v>0.48165841089080302</v>
      </c>
      <c r="AL17" s="11">
        <f t="shared" si="14"/>
        <v>3194.7377224013394</v>
      </c>
    </row>
    <row r="18" spans="2:38" x14ac:dyDescent="0.3">
      <c r="B18" s="9">
        <v>2030</v>
      </c>
      <c r="C18" s="9">
        <v>8</v>
      </c>
      <c r="D18" s="11">
        <f t="shared" si="15"/>
        <v>73.3002582049849</v>
      </c>
      <c r="E18" s="11">
        <f t="shared" si="16"/>
        <v>75.008459639520083</v>
      </c>
      <c r="F18" s="12">
        <f t="shared" si="17"/>
        <v>112.64925865953062</v>
      </c>
      <c r="G18" s="13">
        <f t="shared" si="17"/>
        <v>40.553733117431022</v>
      </c>
      <c r="H18" s="13">
        <f t="shared" si="17"/>
        <v>54.071644156574685</v>
      </c>
      <c r="I18" s="11">
        <f t="shared" si="24"/>
        <v>8.5691213438976046</v>
      </c>
      <c r="J18" s="15">
        <f t="shared" si="18"/>
        <v>32.442986493944808</v>
      </c>
      <c r="K18" s="14"/>
      <c r="L18" s="14"/>
      <c r="M18" s="11">
        <f t="shared" si="19"/>
        <v>590.98217751562527</v>
      </c>
      <c r="N18" s="13">
        <f t="shared" si="20"/>
        <v>85.743552400000041</v>
      </c>
      <c r="O18" s="11">
        <f t="shared" si="21"/>
        <v>738.72772189453156</v>
      </c>
      <c r="P18" s="13">
        <f t="shared" si="22"/>
        <v>849.53688017871127</v>
      </c>
      <c r="Q18" s="9"/>
      <c r="R18" s="11">
        <f t="shared" si="0"/>
        <v>17672.172284682616</v>
      </c>
      <c r="S18" s="11">
        <f t="shared" si="1"/>
        <v>883.60861423413087</v>
      </c>
      <c r="T18" s="13">
        <f t="shared" si="2"/>
        <v>1060.330337080957</v>
      </c>
      <c r="U18" s="11">
        <f t="shared" si="3"/>
        <v>1767.2172284682617</v>
      </c>
      <c r="V18" s="14">
        <f t="shared" si="4"/>
        <v>48.64</v>
      </c>
      <c r="W18" s="11">
        <f t="shared" si="23"/>
        <v>38.003102441628492</v>
      </c>
      <c r="X18" s="11">
        <f t="shared" si="5"/>
        <v>18545.144001358374</v>
      </c>
      <c r="Y18" s="13">
        <f t="shared" si="6"/>
        <v>1854.5144001358376</v>
      </c>
      <c r="Z18" s="11">
        <f t="shared" si="7"/>
        <v>17672.172284682616</v>
      </c>
      <c r="AA18" s="15">
        <f t="shared" si="8"/>
        <v>9855.9271298450021</v>
      </c>
      <c r="AB18" s="11">
        <f t="shared" si="9"/>
        <v>7816.2451548376139</v>
      </c>
      <c r="AC18" s="9">
        <f t="shared" si="10"/>
        <v>0.43392649629802071</v>
      </c>
      <c r="AD18" s="11">
        <f t="shared" si="11"/>
        <v>7668.4238014673156</v>
      </c>
      <c r="AE18" s="11">
        <f t="shared" si="12"/>
        <v>4276.747927222249</v>
      </c>
      <c r="AH18" s="9">
        <v>18593.784001358374</v>
      </c>
      <c r="AI18" s="9">
        <v>11342.104930975856</v>
      </c>
      <c r="AJ18" s="9">
        <v>7251.6790703825172</v>
      </c>
      <c r="AK18" s="9">
        <f t="shared" si="13"/>
        <v>0.43392649629802071</v>
      </c>
      <c r="AL18" s="11">
        <f t="shared" si="14"/>
        <v>3146.6956912887736</v>
      </c>
    </row>
    <row r="19" spans="2:38" x14ac:dyDescent="0.3">
      <c r="B19" s="9">
        <v>2031</v>
      </c>
      <c r="C19" s="9">
        <v>9</v>
      </c>
      <c r="D19" s="11">
        <f t="shared" si="15"/>
        <v>76.965271115234145</v>
      </c>
      <c r="E19" s="11">
        <f t="shared" si="16"/>
        <v>82.5093056034721</v>
      </c>
      <c r="F19" s="12">
        <f t="shared" si="17"/>
        <v>114.33899753942356</v>
      </c>
      <c r="G19" s="13">
        <f t="shared" si="17"/>
        <v>41.162039114192481</v>
      </c>
      <c r="H19" s="13">
        <f t="shared" si="17"/>
        <v>54.882718818923301</v>
      </c>
      <c r="I19" s="11">
        <f t="shared" si="24"/>
        <v>9.2546510514094145</v>
      </c>
      <c r="J19" s="15">
        <f t="shared" si="18"/>
        <v>32.929631291353978</v>
      </c>
      <c r="K19" s="14"/>
      <c r="L19" s="14"/>
      <c r="M19" s="11">
        <f t="shared" si="19"/>
        <v>620.53128639140652</v>
      </c>
      <c r="N19" s="13">
        <f t="shared" si="20"/>
        <v>94.317907640000058</v>
      </c>
      <c r="O19" s="11">
        <f t="shared" si="21"/>
        <v>775.66410798925813</v>
      </c>
      <c r="P19" s="13">
        <f t="shared" si="22"/>
        <v>892.01372418764674</v>
      </c>
      <c r="Q19" s="9"/>
      <c r="R19" s="11">
        <f t="shared" si="0"/>
        <v>19292.330758836091</v>
      </c>
      <c r="S19" s="11">
        <f t="shared" si="1"/>
        <v>964.61653794180461</v>
      </c>
      <c r="T19" s="13">
        <f t="shared" si="2"/>
        <v>1157.5398455301654</v>
      </c>
      <c r="U19" s="11">
        <f t="shared" si="3"/>
        <v>1929.2330758836092</v>
      </c>
      <c r="V19" s="14">
        <f t="shared" si="4"/>
        <v>48.64</v>
      </c>
      <c r="W19" s="11">
        <f t="shared" si="23"/>
        <v>39.143195514877348</v>
      </c>
      <c r="X19" s="11">
        <f t="shared" si="5"/>
        <v>20247.450492292774</v>
      </c>
      <c r="Y19" s="13">
        <f t="shared" si="6"/>
        <v>2024.7450492292774</v>
      </c>
      <c r="Z19" s="11">
        <f t="shared" si="7"/>
        <v>19292.330758836091</v>
      </c>
      <c r="AA19" s="15">
        <f t="shared" si="8"/>
        <v>10719.859622421942</v>
      </c>
      <c r="AB19" s="11">
        <f t="shared" si="9"/>
        <v>8572.4711364141494</v>
      </c>
      <c r="AC19" s="9">
        <f t="shared" si="10"/>
        <v>0.39092477143965826</v>
      </c>
      <c r="AD19" s="11">
        <f t="shared" si="11"/>
        <v>7541.8499924362877</v>
      </c>
      <c r="AE19" s="11">
        <f t="shared" si="12"/>
        <v>4190.658672760519</v>
      </c>
      <c r="AH19" s="9">
        <v>20296.090492292773</v>
      </c>
      <c r="AI19" s="9">
        <v>12365.035181119869</v>
      </c>
      <c r="AJ19" s="9">
        <v>7931.0553111729041</v>
      </c>
      <c r="AK19" s="9">
        <f t="shared" si="13"/>
        <v>0.39092477143965826</v>
      </c>
      <c r="AL19" s="11">
        <f t="shared" si="14"/>
        <v>3100.4459847955554</v>
      </c>
    </row>
    <row r="20" spans="2:38" x14ac:dyDescent="0.3">
      <c r="B20" s="9">
        <v>2032</v>
      </c>
      <c r="C20" s="9">
        <v>10</v>
      </c>
      <c r="D20" s="11">
        <f t="shared" si="15"/>
        <v>80.81353467099585</v>
      </c>
      <c r="E20" s="11">
        <f t="shared" si="16"/>
        <v>90.760236163819314</v>
      </c>
      <c r="F20" s="12">
        <f t="shared" si="17"/>
        <v>116.0540825025149</v>
      </c>
      <c r="G20" s="13">
        <f t="shared" si="17"/>
        <v>41.779469700905366</v>
      </c>
      <c r="H20" s="13">
        <f t="shared" si="17"/>
        <v>55.705959601207148</v>
      </c>
      <c r="I20" s="11">
        <f t="shared" si="24"/>
        <v>9.9950231355221675</v>
      </c>
      <c r="J20" s="15">
        <f t="shared" si="18"/>
        <v>33.42357576072429</v>
      </c>
      <c r="K20" s="14"/>
      <c r="L20" s="16">
        <f>600*(1+$E$4)^(C20)</f>
        <v>696.32449501508916</v>
      </c>
      <c r="M20" s="11">
        <f t="shared" si="19"/>
        <v>651.55785071097682</v>
      </c>
      <c r="N20" s="13">
        <f t="shared" si="20"/>
        <v>103.74969840400007</v>
      </c>
      <c r="O20" s="11">
        <f t="shared" si="21"/>
        <v>814.44731338872111</v>
      </c>
      <c r="P20" s="13">
        <f t="shared" si="22"/>
        <v>936.61441039702925</v>
      </c>
      <c r="Q20" s="17">
        <v>200</v>
      </c>
      <c r="R20" s="11">
        <f t="shared" si="0"/>
        <v>21071.799795315656</v>
      </c>
      <c r="S20" s="11">
        <f t="shared" si="1"/>
        <v>1053.5899897657828</v>
      </c>
      <c r="T20" s="13">
        <f t="shared" si="2"/>
        <v>1264.3079877189393</v>
      </c>
      <c r="U20" s="11">
        <f t="shared" si="3"/>
        <v>2107.1799795315656</v>
      </c>
      <c r="V20" s="14">
        <f t="shared" si="4"/>
        <v>48.64</v>
      </c>
      <c r="W20" s="11">
        <f t="shared" si="23"/>
        <v>40.317491380323666</v>
      </c>
      <c r="X20" s="11">
        <f t="shared" si="5"/>
        <v>22117.067276461763</v>
      </c>
      <c r="Y20" s="13">
        <f t="shared" si="6"/>
        <v>2211.7067276461762</v>
      </c>
      <c r="Z20" s="11">
        <f t="shared" si="7"/>
        <v>21071.799795315656</v>
      </c>
      <c r="AA20" s="15">
        <f t="shared" si="8"/>
        <v>11667.422334174938</v>
      </c>
      <c r="AB20" s="11">
        <f t="shared" si="9"/>
        <v>9404.3774611407171</v>
      </c>
      <c r="AC20" s="9">
        <f t="shared" si="10"/>
        <v>0.35218447877446685</v>
      </c>
      <c r="AD20" s="11">
        <f t="shared" si="11"/>
        <v>7421.1608277531614</v>
      </c>
      <c r="AE20" s="11">
        <f t="shared" si="12"/>
        <v>4109.0850534029742</v>
      </c>
      <c r="AH20" s="9">
        <v>23062.03177147685</v>
      </c>
      <c r="AI20" s="9">
        <v>13488.571728871071</v>
      </c>
      <c r="AJ20" s="9">
        <v>9573.4600426057787</v>
      </c>
      <c r="AK20" s="9">
        <f t="shared" si="13"/>
        <v>0.35218447877446685</v>
      </c>
      <c r="AL20" s="11">
        <f t="shared" si="14"/>
        <v>3371.6240351733013</v>
      </c>
    </row>
    <row r="22" spans="2:38" x14ac:dyDescent="0.3">
      <c r="AD22" s="2">
        <f>SUM(AD10:AD20)</f>
        <v>88861.459185931191</v>
      </c>
      <c r="AE22" s="2">
        <f>SUM(AE10:AE20)</f>
        <v>51845.84593741157</v>
      </c>
      <c r="AK22" t="s">
        <v>46</v>
      </c>
      <c r="AL22" s="2">
        <f>SUM(AL10:AL20)</f>
        <v>35026.03830190406</v>
      </c>
    </row>
    <row r="23" spans="2:38" x14ac:dyDescent="0.3">
      <c r="AC23" t="s">
        <v>44</v>
      </c>
      <c r="AD23" s="2">
        <f>AD22-AE22</f>
        <v>37015.613248519621</v>
      </c>
    </row>
  </sheetData>
  <mergeCells count="8">
    <mergeCell ref="Z8:AB8"/>
    <mergeCell ref="AH8:AJ8"/>
    <mergeCell ref="G2:H2"/>
    <mergeCell ref="K5:L5"/>
    <mergeCell ref="D8:E8"/>
    <mergeCell ref="G8:H8"/>
    <mergeCell ref="M8:N8"/>
    <mergeCell ref="O8:P8"/>
  </mergeCells>
  <pageMargins left="0.7" right="0.7" top="0.75" bottom="0.75" header="0.3" footer="0.3"/>
  <ignoredErrors>
    <ignoredError sqref="AA1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19449-E344-418E-B12B-207EF648F448}">
  <dimension ref="B2:AD38"/>
  <sheetViews>
    <sheetView topLeftCell="G7" workbookViewId="0">
      <selection activeCell="O11" sqref="O11"/>
    </sheetView>
  </sheetViews>
  <sheetFormatPr defaultRowHeight="14.4" x14ac:dyDescent="0.3"/>
  <cols>
    <col min="1" max="1" width="15.44140625" customWidth="1"/>
    <col min="2" max="2" width="9.44140625" customWidth="1"/>
    <col min="4" max="4" width="10.44140625" bestFit="1" customWidth="1"/>
    <col min="5" max="5" width="11.5546875" bestFit="1" customWidth="1"/>
    <col min="7" max="7" width="10.44140625" bestFit="1" customWidth="1"/>
    <col min="8" max="8" width="11.5546875" bestFit="1" customWidth="1"/>
    <col min="9" max="9" width="24.77734375" bestFit="1" customWidth="1"/>
    <col min="10" max="10" width="13" bestFit="1" customWidth="1"/>
    <col min="11" max="11" width="22.44140625" bestFit="1" customWidth="1"/>
    <col min="12" max="12" width="14.44140625" bestFit="1" customWidth="1"/>
    <col min="13" max="13" width="16.21875" bestFit="1" customWidth="1"/>
    <col min="14" max="14" width="17.33203125" bestFit="1" customWidth="1"/>
    <col min="15" max="15" width="19.21875" customWidth="1"/>
    <col min="16" max="16" width="15.77734375" customWidth="1"/>
    <col min="17" max="17" width="19.6640625" bestFit="1" customWidth="1"/>
    <col min="18" max="18" width="16.44140625" bestFit="1" customWidth="1"/>
    <col min="19" max="19" width="11.5546875" bestFit="1" customWidth="1"/>
    <col min="20" max="20" width="15.33203125" bestFit="1" customWidth="1"/>
    <col min="21" max="21" width="15.77734375" bestFit="1" customWidth="1"/>
    <col min="22" max="22" width="14.109375" bestFit="1" customWidth="1"/>
    <col min="23" max="23" width="15.109375" bestFit="1" customWidth="1"/>
    <col min="24" max="24" width="14.88671875" bestFit="1" customWidth="1"/>
    <col min="26" max="26" width="12.77734375" bestFit="1" customWidth="1"/>
    <col min="27" max="27" width="13.21875" bestFit="1" customWidth="1"/>
    <col min="28" max="28" width="11.88671875" bestFit="1" customWidth="1"/>
    <col min="29" max="29" width="13.6640625" bestFit="1" customWidth="1"/>
  </cols>
  <sheetData>
    <row r="2" spans="2:30" x14ac:dyDescent="0.3">
      <c r="F2" t="s">
        <v>1</v>
      </c>
      <c r="G2" s="23" t="s">
        <v>16</v>
      </c>
      <c r="H2" s="23"/>
      <c r="Z2" t="s">
        <v>40</v>
      </c>
      <c r="AA2" s="4">
        <v>0.11</v>
      </c>
    </row>
    <row r="3" spans="2:30" x14ac:dyDescent="0.3">
      <c r="G3" t="s">
        <v>17</v>
      </c>
      <c r="H3" t="s">
        <v>18</v>
      </c>
      <c r="K3" t="s">
        <v>11</v>
      </c>
      <c r="L3" s="4">
        <v>0.65</v>
      </c>
      <c r="P3" t="s">
        <v>31</v>
      </c>
      <c r="Q3">
        <v>2432</v>
      </c>
      <c r="Z3" t="s">
        <v>41</v>
      </c>
      <c r="AA3">
        <f>(1+AA2)^(-1)</f>
        <v>0.9009009009009008</v>
      </c>
    </row>
    <row r="4" spans="2:30" x14ac:dyDescent="0.3">
      <c r="D4" t="s">
        <v>5</v>
      </c>
      <c r="E4" s="3">
        <v>1.4999999999999999E-2</v>
      </c>
      <c r="F4">
        <v>2020</v>
      </c>
      <c r="G4" s="2">
        <v>45</v>
      </c>
      <c r="H4" s="2">
        <v>30</v>
      </c>
      <c r="K4" t="s">
        <v>12</v>
      </c>
      <c r="L4" s="1">
        <f>E10/L3</f>
        <v>53.833846153846167</v>
      </c>
      <c r="M4" t="s">
        <v>14</v>
      </c>
      <c r="N4" s="1">
        <f>L4*2</f>
        <v>107.66769230769233</v>
      </c>
      <c r="P4" t="s">
        <v>32</v>
      </c>
      <c r="Q4" s="4">
        <v>0.02</v>
      </c>
    </row>
    <row r="5" spans="2:30" x14ac:dyDescent="0.3">
      <c r="F5">
        <v>2021</v>
      </c>
      <c r="G5" s="2">
        <f>G4*(1+5%)</f>
        <v>47.25</v>
      </c>
      <c r="H5" s="2">
        <f>H4*(1+8%)</f>
        <v>32.400000000000006</v>
      </c>
      <c r="K5" s="23" t="s">
        <v>19</v>
      </c>
      <c r="L5" s="23"/>
    </row>
    <row r="6" spans="2:30" x14ac:dyDescent="0.3">
      <c r="F6">
        <v>2022</v>
      </c>
      <c r="G6" s="2">
        <f>G5*(1+5%)</f>
        <v>49.612500000000004</v>
      </c>
      <c r="H6" s="2">
        <f>H5*(1+8%)</f>
        <v>34.992000000000012</v>
      </c>
    </row>
    <row r="8" spans="2:30" x14ac:dyDescent="0.3">
      <c r="B8" s="9" t="s">
        <v>1</v>
      </c>
      <c r="C8" s="21" t="s">
        <v>0</v>
      </c>
      <c r="D8" s="22" t="s">
        <v>2</v>
      </c>
      <c r="E8" s="22"/>
      <c r="F8" s="9" t="s">
        <v>7</v>
      </c>
      <c r="G8" s="22" t="s">
        <v>6</v>
      </c>
      <c r="H8" s="22"/>
      <c r="I8" s="9" t="s">
        <v>8</v>
      </c>
      <c r="J8" s="9" t="s">
        <v>9</v>
      </c>
      <c r="K8" s="9" t="s">
        <v>10</v>
      </c>
      <c r="L8" s="9" t="s">
        <v>13</v>
      </c>
      <c r="M8" s="22" t="s">
        <v>23</v>
      </c>
      <c r="N8" s="22"/>
      <c r="O8" s="22" t="s">
        <v>22</v>
      </c>
      <c r="P8" s="22"/>
      <c r="Q8" s="9" t="s">
        <v>15</v>
      </c>
      <c r="R8" s="9" t="s">
        <v>26</v>
      </c>
      <c r="S8" s="9" t="s">
        <v>27</v>
      </c>
      <c r="T8" s="9" t="s">
        <v>28</v>
      </c>
      <c r="U8" s="9" t="s">
        <v>29</v>
      </c>
      <c r="V8" s="9" t="s">
        <v>30</v>
      </c>
      <c r="W8" s="9" t="s">
        <v>33</v>
      </c>
      <c r="X8" s="9" t="s">
        <v>34</v>
      </c>
      <c r="Y8" s="9" t="s">
        <v>35</v>
      </c>
      <c r="Z8" s="22" t="s">
        <v>39</v>
      </c>
      <c r="AA8" s="22"/>
      <c r="AB8" s="22"/>
      <c r="AC8" s="18" t="s">
        <v>42</v>
      </c>
      <c r="AD8" s="18" t="s">
        <v>43</v>
      </c>
    </row>
    <row r="9" spans="2:30" x14ac:dyDescent="0.3">
      <c r="B9" s="9"/>
      <c r="C9" s="9"/>
      <c r="D9" s="9" t="s">
        <v>3</v>
      </c>
      <c r="E9" s="9" t="s">
        <v>4</v>
      </c>
      <c r="F9" s="9"/>
      <c r="G9" s="9" t="s">
        <v>3</v>
      </c>
      <c r="H9" s="9" t="s">
        <v>4</v>
      </c>
      <c r="I9" s="9" t="s">
        <v>4</v>
      </c>
      <c r="J9" s="9"/>
      <c r="K9" s="9"/>
      <c r="L9" s="9"/>
      <c r="M9" s="9" t="s">
        <v>25</v>
      </c>
      <c r="N9" s="9" t="s">
        <v>24</v>
      </c>
      <c r="O9" s="9" t="s">
        <v>20</v>
      </c>
      <c r="P9" s="9" t="s">
        <v>21</v>
      </c>
      <c r="Q9" s="9"/>
      <c r="R9" s="9"/>
      <c r="S9" s="9"/>
      <c r="T9" s="9"/>
      <c r="U9" s="9"/>
      <c r="V9" s="9"/>
      <c r="W9" s="9"/>
      <c r="X9" s="9"/>
      <c r="Y9" s="9"/>
      <c r="Z9" s="9" t="s">
        <v>36</v>
      </c>
      <c r="AA9" s="9" t="s">
        <v>37</v>
      </c>
      <c r="AB9" s="9" t="s">
        <v>38</v>
      </c>
    </row>
    <row r="10" spans="2:30" x14ac:dyDescent="0.3">
      <c r="B10" s="9">
        <v>2022</v>
      </c>
      <c r="C10" s="9">
        <v>0</v>
      </c>
      <c r="D10" s="11">
        <f>G6</f>
        <v>49.612500000000004</v>
      </c>
      <c r="E10" s="11">
        <f>H6</f>
        <v>34.992000000000012</v>
      </c>
      <c r="F10" s="12">
        <v>100</v>
      </c>
      <c r="G10" s="13">
        <v>36</v>
      </c>
      <c r="H10" s="13">
        <v>48</v>
      </c>
      <c r="I10" s="9"/>
      <c r="J10" s="9"/>
      <c r="K10" s="14">
        <v>150</v>
      </c>
      <c r="L10" s="14"/>
      <c r="M10" s="11">
        <v>400</v>
      </c>
      <c r="N10" s="13">
        <v>40</v>
      </c>
      <c r="O10" s="11">
        <v>500</v>
      </c>
      <c r="P10" s="13">
        <f>O10</f>
        <v>500</v>
      </c>
      <c r="Q10" s="14">
        <v>1000</v>
      </c>
      <c r="R10" s="11">
        <f>(D10*F10)+(E10*F10)+(I10*F10)</f>
        <v>8460.4500000000007</v>
      </c>
      <c r="S10" s="11">
        <f>5%*R10</f>
        <v>423.02250000000004</v>
      </c>
      <c r="T10" s="13">
        <f>R10*6%</f>
        <v>507.62700000000001</v>
      </c>
      <c r="U10" s="11">
        <f>R10*10%</f>
        <v>846.04500000000007</v>
      </c>
      <c r="V10" s="14">
        <f>$Q$3*$Q$4</f>
        <v>48.64</v>
      </c>
      <c r="W10" s="11">
        <v>30</v>
      </c>
      <c r="X10" s="11">
        <f>R10+S10+W10-V10</f>
        <v>8864.8325000000004</v>
      </c>
      <c r="Y10" s="13">
        <f>X10*10%</f>
        <v>886.48325000000011</v>
      </c>
      <c r="Z10" s="11">
        <f>R10</f>
        <v>8460.4500000000007</v>
      </c>
      <c r="AA10" s="15">
        <f>(D10*G10)+(E10*H10)+(I10*J10)+K10+M10+P10+T10+V10+Q10</f>
        <v>6071.9330000000018</v>
      </c>
      <c r="AB10" s="11">
        <f>Z10-AA10</f>
        <v>2388.5169999999989</v>
      </c>
      <c r="AC10">
        <f>$AA$3^(C10)</f>
        <v>1</v>
      </c>
      <c r="AD10">
        <f>AC10*AB10</f>
        <v>2388.5169999999989</v>
      </c>
    </row>
    <row r="11" spans="2:30" x14ac:dyDescent="0.3">
      <c r="B11" s="9">
        <v>2023</v>
      </c>
      <c r="C11" s="9">
        <v>1</v>
      </c>
      <c r="D11" s="11">
        <f>D10*(1+5%)</f>
        <v>52.093125000000008</v>
      </c>
      <c r="E11" s="11">
        <f>E10*(1+10%)</f>
        <v>38.491200000000013</v>
      </c>
      <c r="F11" s="12">
        <f>F10*(1+$E$4)</f>
        <v>101.49999999999999</v>
      </c>
      <c r="G11" s="13">
        <f>G10*(1+$E$4)</f>
        <v>36.54</v>
      </c>
      <c r="H11" s="13">
        <f>H10*(1+$E$4)</f>
        <v>48.72</v>
      </c>
      <c r="I11" s="9">
        <v>5</v>
      </c>
      <c r="J11" s="15">
        <f>H11*60%</f>
        <v>29.231999999999999</v>
      </c>
      <c r="K11" s="14"/>
      <c r="L11" s="14"/>
      <c r="M11" s="11">
        <f>M10*(1+5%)</f>
        <v>420</v>
      </c>
      <c r="N11" s="13">
        <f>N10*(1+10%)</f>
        <v>44</v>
      </c>
      <c r="O11" s="11">
        <f>O10*(1+5%)</f>
        <v>525</v>
      </c>
      <c r="P11" s="13">
        <f>O11*(1+15%)</f>
        <v>603.75</v>
      </c>
      <c r="Q11" s="9"/>
      <c r="R11" s="11">
        <f t="shared" ref="R11:R20" si="0">(D11*F11)+(E11*F11)+(I11*F11)</f>
        <v>9701.8089875000005</v>
      </c>
      <c r="S11" s="11">
        <f t="shared" ref="S11:S20" si="1">5%*R11</f>
        <v>485.09044937500005</v>
      </c>
      <c r="T11" s="13">
        <f t="shared" ref="T11:T20" si="2">R11*6%</f>
        <v>582.10853925000004</v>
      </c>
      <c r="U11" s="11">
        <f t="shared" ref="U11:U20" si="3">R11*10%</f>
        <v>970.1808987500001</v>
      </c>
      <c r="V11" s="14">
        <f t="shared" ref="V11:V20" si="4">$Q$3*$Q$4</f>
        <v>48.64</v>
      </c>
      <c r="W11" s="11">
        <f>W10*(1+3%)</f>
        <v>30.900000000000002</v>
      </c>
      <c r="X11" s="11">
        <f t="shared" ref="X11:X20" si="5">R11+S11+W11-V11</f>
        <v>10169.159436875001</v>
      </c>
      <c r="Y11" s="13">
        <f t="shared" ref="Y11:Y20" si="6">X11*10%</f>
        <v>1016.9159436875002</v>
      </c>
      <c r="Z11" s="11">
        <f t="shared" ref="Z11:Z20" si="7">R11</f>
        <v>9701.8089875000005</v>
      </c>
      <c r="AA11" s="15">
        <f t="shared" ref="AA11:AA20" si="8">(D11*G11)+(E11*H11)+(I11*J11)+K11+M11+P11+T11+V11</f>
        <v>5579.4325907500006</v>
      </c>
      <c r="AB11" s="11">
        <f t="shared" ref="AB11:AB20" si="9">Z11-AA11</f>
        <v>4122.3763967499999</v>
      </c>
      <c r="AC11">
        <f t="shared" ref="AC11:AC30" si="10">$AA$3^(C11)</f>
        <v>0.9009009009009008</v>
      </c>
      <c r="AD11">
        <f t="shared" ref="AD11:AD30" si="11">AC11*AB11</f>
        <v>3713.852609684684</v>
      </c>
    </row>
    <row r="12" spans="2:30" x14ac:dyDescent="0.3">
      <c r="B12" s="9">
        <v>2024</v>
      </c>
      <c r="C12" s="9">
        <v>2</v>
      </c>
      <c r="D12" s="11">
        <f t="shared" ref="D12:D20" si="12">D11*(1+5%)</f>
        <v>54.697781250000013</v>
      </c>
      <c r="E12" s="11">
        <f t="shared" ref="E12:E20" si="13">E11*(1+10%)</f>
        <v>42.34032000000002</v>
      </c>
      <c r="F12" s="12">
        <f t="shared" ref="F12:H20" si="14">F11*(1+$E$4)</f>
        <v>103.02249999999998</v>
      </c>
      <c r="G12" s="13">
        <f t="shared" si="14"/>
        <v>37.088099999999997</v>
      </c>
      <c r="H12" s="13">
        <f t="shared" si="14"/>
        <v>49.450799999999994</v>
      </c>
      <c r="I12" s="11">
        <f>I11*(1+8%)</f>
        <v>5.4</v>
      </c>
      <c r="J12" s="15">
        <f t="shared" ref="J12:J20" si="15">H12*60%</f>
        <v>29.670479999999994</v>
      </c>
      <c r="K12" s="14"/>
      <c r="L12" s="14"/>
      <c r="M12" s="11">
        <f t="shared" ref="M12:M20" si="16">M11*(1+5%)</f>
        <v>441</v>
      </c>
      <c r="N12" s="13">
        <f t="shared" ref="N12:N20" si="17">N11*(1+10%)</f>
        <v>48.400000000000006</v>
      </c>
      <c r="O12" s="11">
        <f t="shared" ref="O12:O20" si="18">O11*(1+5%)</f>
        <v>551.25</v>
      </c>
      <c r="P12" s="13">
        <f t="shared" ref="P12:P20" si="19">O12*(1+15%)</f>
        <v>633.9375</v>
      </c>
      <c r="Q12" s="9"/>
      <c r="R12" s="11">
        <f t="shared" si="0"/>
        <v>10553.429286028126</v>
      </c>
      <c r="S12" s="11">
        <f t="shared" si="1"/>
        <v>527.67146430140633</v>
      </c>
      <c r="T12" s="13">
        <f t="shared" si="2"/>
        <v>633.20575716168753</v>
      </c>
      <c r="U12" s="11">
        <f t="shared" si="3"/>
        <v>1055.3429286028127</v>
      </c>
      <c r="V12" s="14">
        <f t="shared" si="4"/>
        <v>48.64</v>
      </c>
      <c r="W12" s="11">
        <f t="shared" ref="W12:W20" si="20">W11*(1+3%)</f>
        <v>31.827000000000002</v>
      </c>
      <c r="X12" s="11">
        <f t="shared" si="5"/>
        <v>11064.287750329531</v>
      </c>
      <c r="Y12" s="13">
        <f t="shared" si="6"/>
        <v>1106.4287750329531</v>
      </c>
      <c r="Z12" s="11">
        <f t="shared" si="7"/>
        <v>10553.429286028126</v>
      </c>
      <c r="AA12" s="15">
        <f t="shared" si="8"/>
        <v>6039.4033261958139</v>
      </c>
      <c r="AB12" s="11">
        <f t="shared" si="9"/>
        <v>4514.0259598323119</v>
      </c>
      <c r="AC12">
        <f t="shared" si="10"/>
        <v>0.8116224332440547</v>
      </c>
      <c r="AD12">
        <f t="shared" si="11"/>
        <v>3663.6847332459306</v>
      </c>
    </row>
    <row r="13" spans="2:30" x14ac:dyDescent="0.3">
      <c r="B13" s="9">
        <v>2025</v>
      </c>
      <c r="C13" s="9">
        <v>3</v>
      </c>
      <c r="D13" s="11">
        <f t="shared" si="12"/>
        <v>57.432670312500015</v>
      </c>
      <c r="E13" s="11">
        <f t="shared" si="13"/>
        <v>46.574352000000026</v>
      </c>
      <c r="F13" s="12">
        <f t="shared" si="14"/>
        <v>104.56783749999997</v>
      </c>
      <c r="G13" s="13">
        <f t="shared" si="14"/>
        <v>37.644421499999993</v>
      </c>
      <c r="H13" s="13">
        <f t="shared" si="14"/>
        <v>50.192561999999988</v>
      </c>
      <c r="I13" s="11">
        <f t="shared" ref="I13:I20" si="21">I12*(1+8%)</f>
        <v>5.8320000000000007</v>
      </c>
      <c r="J13" s="15">
        <f t="shared" si="15"/>
        <v>30.115537199999991</v>
      </c>
      <c r="K13" s="14"/>
      <c r="L13" s="14"/>
      <c r="M13" s="11">
        <f t="shared" si="16"/>
        <v>463.05</v>
      </c>
      <c r="N13" s="13">
        <f t="shared" si="17"/>
        <v>53.240000000000009</v>
      </c>
      <c r="O13" s="11">
        <f t="shared" si="18"/>
        <v>578.8125</v>
      </c>
      <c r="P13" s="13">
        <f t="shared" si="19"/>
        <v>665.63437499999998</v>
      </c>
      <c r="Q13" s="9"/>
      <c r="R13" s="11">
        <f t="shared" si="0"/>
        <v>11485.629036332375</v>
      </c>
      <c r="S13" s="11">
        <f t="shared" si="1"/>
        <v>574.28145181661876</v>
      </c>
      <c r="T13" s="13">
        <f t="shared" si="2"/>
        <v>689.13774217994251</v>
      </c>
      <c r="U13" s="11">
        <f t="shared" si="3"/>
        <v>1148.5629036332375</v>
      </c>
      <c r="V13" s="14">
        <f t="shared" si="4"/>
        <v>48.64</v>
      </c>
      <c r="W13" s="11">
        <f t="shared" si="20"/>
        <v>32.78181</v>
      </c>
      <c r="X13" s="11">
        <f t="shared" si="5"/>
        <v>12044.052298148996</v>
      </c>
      <c r="Y13" s="13">
        <f t="shared" si="6"/>
        <v>1204.4052298148997</v>
      </c>
      <c r="Z13" s="11">
        <f t="shared" si="7"/>
        <v>11485.629036332375</v>
      </c>
      <c r="AA13" s="15">
        <f>(D13*G13)+(E13*H13)+(I13*J13)+K13+M13+P13+T13+V13</f>
        <v>6541.8016296144542</v>
      </c>
      <c r="AB13" s="11">
        <f t="shared" si="9"/>
        <v>4943.8274067179209</v>
      </c>
      <c r="AC13">
        <f t="shared" si="10"/>
        <v>0.73119138130095007</v>
      </c>
      <c r="AD13">
        <f t="shared" si="11"/>
        <v>3614.8839904315705</v>
      </c>
    </row>
    <row r="14" spans="2:30" x14ac:dyDescent="0.3">
      <c r="B14" s="9">
        <v>2026</v>
      </c>
      <c r="C14" s="9">
        <v>4</v>
      </c>
      <c r="D14" s="11">
        <f t="shared" si="12"/>
        <v>60.304303828125022</v>
      </c>
      <c r="E14" s="11">
        <f t="shared" si="13"/>
        <v>51.231787200000035</v>
      </c>
      <c r="F14" s="12">
        <f t="shared" si="14"/>
        <v>106.13635506249996</v>
      </c>
      <c r="G14" s="13">
        <f t="shared" si="14"/>
        <v>38.209087822499988</v>
      </c>
      <c r="H14" s="13">
        <f t="shared" si="14"/>
        <v>50.94545042999998</v>
      </c>
      <c r="I14" s="11">
        <f t="shared" si="21"/>
        <v>6.298560000000001</v>
      </c>
      <c r="J14" s="15">
        <f t="shared" si="15"/>
        <v>30.567270257999986</v>
      </c>
      <c r="K14" s="14"/>
      <c r="L14" s="15">
        <f>600*(1+$E$4)^(C14)</f>
        <v>636.81813037499967</v>
      </c>
      <c r="M14" s="11">
        <f t="shared" si="16"/>
        <v>486.20250000000004</v>
      </c>
      <c r="N14" s="13">
        <f t="shared" si="17"/>
        <v>58.564000000000014</v>
      </c>
      <c r="O14" s="11">
        <f t="shared" si="18"/>
        <v>607.75312500000007</v>
      </c>
      <c r="P14" s="13">
        <f t="shared" si="19"/>
        <v>698.91609375000007</v>
      </c>
      <c r="Q14" s="9"/>
      <c r="R14" s="11">
        <f t="shared" si="0"/>
        <v>12506.540360186858</v>
      </c>
      <c r="S14" s="11">
        <f t="shared" si="1"/>
        <v>625.32701800934296</v>
      </c>
      <c r="T14" s="13">
        <f t="shared" si="2"/>
        <v>750.39242161121149</v>
      </c>
      <c r="U14" s="11">
        <f t="shared" si="3"/>
        <v>1250.6540360186859</v>
      </c>
      <c r="V14" s="14">
        <f t="shared" si="4"/>
        <v>48.64</v>
      </c>
      <c r="W14" s="11">
        <f t="shared" si="20"/>
        <v>33.765264299999998</v>
      </c>
      <c r="X14" s="11">
        <f t="shared" si="5"/>
        <v>13116.992642496201</v>
      </c>
      <c r="Y14" s="13">
        <f t="shared" si="6"/>
        <v>1311.6992642496202</v>
      </c>
      <c r="Z14" s="11">
        <f t="shared" si="7"/>
        <v>12506.540360186858</v>
      </c>
      <c r="AA14" s="15">
        <f>(D14*G14)+(E14*H14)+(I14*J14)+K14+M14+P14+T14+V14+L14</f>
        <v>7727.6978477739012</v>
      </c>
      <c r="AB14" s="11">
        <f t="shared" si="9"/>
        <v>4778.8425124129571</v>
      </c>
      <c r="AC14">
        <f t="shared" si="10"/>
        <v>0.65873097414500004</v>
      </c>
      <c r="AD14">
        <f t="shared" si="11"/>
        <v>3147.9715834873268</v>
      </c>
    </row>
    <row r="15" spans="2:30" x14ac:dyDescent="0.3">
      <c r="B15" s="9">
        <v>2027</v>
      </c>
      <c r="C15" s="9">
        <v>5</v>
      </c>
      <c r="D15" s="11">
        <f t="shared" si="12"/>
        <v>63.319519019531278</v>
      </c>
      <c r="E15" s="11">
        <f t="shared" si="13"/>
        <v>56.354965920000041</v>
      </c>
      <c r="F15" s="12">
        <f t="shared" si="14"/>
        <v>107.72840038843745</v>
      </c>
      <c r="G15" s="13">
        <f t="shared" si="14"/>
        <v>38.782224139837481</v>
      </c>
      <c r="H15" s="13">
        <f t="shared" si="14"/>
        <v>51.709632186449973</v>
      </c>
      <c r="I15" s="11">
        <f t="shared" si="21"/>
        <v>6.8024448000000017</v>
      </c>
      <c r="J15" s="15">
        <f t="shared" si="15"/>
        <v>31.025779311869982</v>
      </c>
      <c r="K15" s="14"/>
      <c r="L15" s="15"/>
      <c r="M15" s="11">
        <f t="shared" si="16"/>
        <v>510.51262500000007</v>
      </c>
      <c r="N15" s="13">
        <f t="shared" si="17"/>
        <v>64.420400000000015</v>
      </c>
      <c r="O15" s="11">
        <f t="shared" si="18"/>
        <v>638.14078125000015</v>
      </c>
      <c r="P15" s="13">
        <f t="shared" si="19"/>
        <v>733.86189843750014</v>
      </c>
      <c r="Q15" s="9"/>
      <c r="R15" s="11">
        <f t="shared" si="0"/>
        <v>13625.1573268805</v>
      </c>
      <c r="S15" s="11">
        <f t="shared" si="1"/>
        <v>681.25786634402505</v>
      </c>
      <c r="T15" s="13">
        <f t="shared" si="2"/>
        <v>817.50943961282996</v>
      </c>
      <c r="U15" s="11">
        <f t="shared" si="3"/>
        <v>1362.5157326880501</v>
      </c>
      <c r="V15" s="14">
        <f t="shared" si="4"/>
        <v>48.64</v>
      </c>
      <c r="W15" s="11">
        <f t="shared" si="20"/>
        <v>34.778222229000001</v>
      </c>
      <c r="X15" s="11">
        <f t="shared" si="5"/>
        <v>14292.553415453527</v>
      </c>
      <c r="Y15" s="13">
        <f t="shared" si="6"/>
        <v>1429.2553415453528</v>
      </c>
      <c r="Z15" s="11">
        <f t="shared" si="7"/>
        <v>13625.1573268805</v>
      </c>
      <c r="AA15" s="15">
        <f t="shared" si="8"/>
        <v>7691.3414528415969</v>
      </c>
      <c r="AB15" s="11">
        <f t="shared" si="9"/>
        <v>5933.8158740389035</v>
      </c>
      <c r="AC15">
        <f t="shared" si="10"/>
        <v>0.59345132805855849</v>
      </c>
      <c r="AD15">
        <f t="shared" si="11"/>
        <v>3521.4309109033434</v>
      </c>
    </row>
    <row r="16" spans="2:30" x14ac:dyDescent="0.3">
      <c r="B16" s="9">
        <v>2028</v>
      </c>
      <c r="C16" s="9">
        <v>6</v>
      </c>
      <c r="D16" s="11">
        <f t="shared" si="12"/>
        <v>66.485494970507844</v>
      </c>
      <c r="E16" s="11">
        <f t="shared" si="13"/>
        <v>61.99046251200005</v>
      </c>
      <c r="F16" s="12">
        <f t="shared" si="14"/>
        <v>109.344326394264</v>
      </c>
      <c r="G16" s="13">
        <f t="shared" si="14"/>
        <v>39.36395750193504</v>
      </c>
      <c r="H16" s="13">
        <f t="shared" si="14"/>
        <v>52.485276669246716</v>
      </c>
      <c r="I16" s="11">
        <f t="shared" si="21"/>
        <v>7.3466403840000023</v>
      </c>
      <c r="J16" s="15">
        <f t="shared" si="15"/>
        <v>31.491166001548027</v>
      </c>
      <c r="K16" s="14"/>
      <c r="L16" s="14"/>
      <c r="M16" s="11">
        <f t="shared" si="16"/>
        <v>536.03825625000013</v>
      </c>
      <c r="N16" s="13">
        <f t="shared" si="17"/>
        <v>70.862440000000021</v>
      </c>
      <c r="O16" s="11">
        <f t="shared" si="18"/>
        <v>670.04782031250022</v>
      </c>
      <c r="P16" s="13">
        <f t="shared" si="19"/>
        <v>770.5549933593752</v>
      </c>
      <c r="Q16" s="9"/>
      <c r="R16" s="11">
        <f t="shared" si="0"/>
        <v>14851.430472832306</v>
      </c>
      <c r="S16" s="11">
        <f t="shared" si="1"/>
        <v>742.57152364161539</v>
      </c>
      <c r="T16" s="13">
        <f t="shared" si="2"/>
        <v>891.08582836993833</v>
      </c>
      <c r="U16" s="11">
        <f t="shared" si="3"/>
        <v>1485.1430472832308</v>
      </c>
      <c r="V16" s="14">
        <f t="shared" si="4"/>
        <v>48.64</v>
      </c>
      <c r="W16" s="11">
        <f t="shared" si="20"/>
        <v>35.821568895870001</v>
      </c>
      <c r="X16" s="11">
        <f t="shared" si="5"/>
        <v>15581.183565369793</v>
      </c>
      <c r="Y16" s="13">
        <f t="shared" si="6"/>
        <v>1558.1183565369793</v>
      </c>
      <c r="Z16" s="11">
        <f t="shared" si="7"/>
        <v>14851.430472832306</v>
      </c>
      <c r="AA16" s="15">
        <f t="shared" si="8"/>
        <v>8348.3921241766093</v>
      </c>
      <c r="AB16" s="11">
        <f t="shared" si="9"/>
        <v>6503.0383486556966</v>
      </c>
      <c r="AC16">
        <f t="shared" si="10"/>
        <v>0.53464083608879143</v>
      </c>
      <c r="AD16">
        <f t="shared" si="11"/>
        <v>3476.789859842755</v>
      </c>
    </row>
    <row r="17" spans="2:30" x14ac:dyDescent="0.3">
      <c r="B17" s="9">
        <v>2029</v>
      </c>
      <c r="C17" s="9">
        <v>7</v>
      </c>
      <c r="D17" s="11">
        <f t="shared" si="12"/>
        <v>69.809769719033241</v>
      </c>
      <c r="E17" s="11">
        <f t="shared" si="13"/>
        <v>68.189508763200067</v>
      </c>
      <c r="F17" s="12">
        <f t="shared" si="14"/>
        <v>110.98449129017796</v>
      </c>
      <c r="G17" s="13">
        <f t="shared" si="14"/>
        <v>39.954416864464065</v>
      </c>
      <c r="H17" s="13">
        <f t="shared" si="14"/>
        <v>53.272555819285408</v>
      </c>
      <c r="I17" s="11">
        <f t="shared" si="21"/>
        <v>7.9343716147200034</v>
      </c>
      <c r="J17" s="15">
        <f t="shared" si="15"/>
        <v>31.963533491571244</v>
      </c>
      <c r="K17" s="14"/>
      <c r="L17" s="14"/>
      <c r="M17" s="11">
        <f t="shared" si="16"/>
        <v>562.84016906250019</v>
      </c>
      <c r="N17" s="13">
        <f t="shared" si="17"/>
        <v>77.948684000000029</v>
      </c>
      <c r="O17" s="11">
        <f t="shared" si="18"/>
        <v>703.55021132812522</v>
      </c>
      <c r="P17" s="13">
        <f t="shared" si="19"/>
        <v>809.08274302734389</v>
      </c>
      <c r="Q17" s="9"/>
      <c r="R17" s="11">
        <f t="shared" si="0"/>
        <v>16196.371918129193</v>
      </c>
      <c r="S17" s="11">
        <f t="shared" si="1"/>
        <v>809.81859590645968</v>
      </c>
      <c r="T17" s="13">
        <f t="shared" si="2"/>
        <v>971.7823150877515</v>
      </c>
      <c r="U17" s="11">
        <f t="shared" si="3"/>
        <v>1619.6371918129194</v>
      </c>
      <c r="V17" s="14">
        <f t="shared" si="4"/>
        <v>48.64</v>
      </c>
      <c r="W17" s="11">
        <f t="shared" si="20"/>
        <v>36.896215962746105</v>
      </c>
      <c r="X17" s="11">
        <f t="shared" si="5"/>
        <v>16994.446729998399</v>
      </c>
      <c r="Y17" s="13">
        <f t="shared" si="6"/>
        <v>1699.4446729998399</v>
      </c>
      <c r="Z17" s="11">
        <f t="shared" si="7"/>
        <v>16196.371918129193</v>
      </c>
      <c r="AA17" s="15">
        <f t="shared" si="8"/>
        <v>9067.7938324629922</v>
      </c>
      <c r="AB17" s="11">
        <f t="shared" si="9"/>
        <v>7128.5780856662004</v>
      </c>
      <c r="AC17">
        <f t="shared" si="10"/>
        <v>0.48165841089080302</v>
      </c>
      <c r="AD17">
        <f t="shared" si="11"/>
        <v>3433.539592652985</v>
      </c>
    </row>
    <row r="18" spans="2:30" x14ac:dyDescent="0.3">
      <c r="B18" s="9">
        <v>2030</v>
      </c>
      <c r="C18" s="9">
        <v>8</v>
      </c>
      <c r="D18" s="11">
        <f t="shared" si="12"/>
        <v>73.3002582049849</v>
      </c>
      <c r="E18" s="11">
        <f t="shared" si="13"/>
        <v>75.008459639520083</v>
      </c>
      <c r="F18" s="12">
        <f t="shared" si="14"/>
        <v>112.64925865953062</v>
      </c>
      <c r="G18" s="13">
        <f t="shared" si="14"/>
        <v>40.553733117431022</v>
      </c>
      <c r="H18" s="13">
        <f t="shared" si="14"/>
        <v>54.071644156574685</v>
      </c>
      <c r="I18" s="11">
        <f t="shared" si="21"/>
        <v>8.5691213438976046</v>
      </c>
      <c r="J18" s="15">
        <f t="shared" si="15"/>
        <v>32.442986493944808</v>
      </c>
      <c r="K18" s="14"/>
      <c r="L18" s="14"/>
      <c r="M18" s="11">
        <f t="shared" si="16"/>
        <v>590.98217751562527</v>
      </c>
      <c r="N18" s="13">
        <f t="shared" si="17"/>
        <v>85.743552400000041</v>
      </c>
      <c r="O18" s="11">
        <f t="shared" si="18"/>
        <v>738.72772189453156</v>
      </c>
      <c r="P18" s="13">
        <f t="shared" si="19"/>
        <v>849.53688017871127</v>
      </c>
      <c r="Q18" s="9"/>
      <c r="R18" s="11">
        <f t="shared" si="0"/>
        <v>17672.172284682616</v>
      </c>
      <c r="S18" s="11">
        <f t="shared" si="1"/>
        <v>883.60861423413087</v>
      </c>
      <c r="T18" s="13">
        <f t="shared" si="2"/>
        <v>1060.330337080957</v>
      </c>
      <c r="U18" s="11">
        <f t="shared" si="3"/>
        <v>1767.2172284682617</v>
      </c>
      <c r="V18" s="14">
        <f t="shared" si="4"/>
        <v>48.64</v>
      </c>
      <c r="W18" s="11">
        <f t="shared" si="20"/>
        <v>38.003102441628492</v>
      </c>
      <c r="X18" s="11">
        <f t="shared" si="5"/>
        <v>18545.144001358374</v>
      </c>
      <c r="Y18" s="13">
        <f t="shared" si="6"/>
        <v>1854.5144001358376</v>
      </c>
      <c r="Z18" s="11">
        <f t="shared" si="7"/>
        <v>17672.172284682616</v>
      </c>
      <c r="AA18" s="15">
        <f t="shared" si="8"/>
        <v>9855.9271298450021</v>
      </c>
      <c r="AB18" s="11">
        <f t="shared" si="9"/>
        <v>7816.2451548376139</v>
      </c>
      <c r="AC18">
        <f t="shared" si="10"/>
        <v>0.43392649629802071</v>
      </c>
      <c r="AD18">
        <f t="shared" si="11"/>
        <v>3391.6758742450661</v>
      </c>
    </row>
    <row r="19" spans="2:30" x14ac:dyDescent="0.3">
      <c r="B19" s="9">
        <v>2031</v>
      </c>
      <c r="C19" s="9">
        <v>9</v>
      </c>
      <c r="D19" s="11">
        <f t="shared" si="12"/>
        <v>76.965271115234145</v>
      </c>
      <c r="E19" s="11">
        <f t="shared" si="13"/>
        <v>82.5093056034721</v>
      </c>
      <c r="F19" s="12">
        <f t="shared" si="14"/>
        <v>114.33899753942356</v>
      </c>
      <c r="G19" s="13">
        <f t="shared" si="14"/>
        <v>41.162039114192481</v>
      </c>
      <c r="H19" s="13">
        <f t="shared" si="14"/>
        <v>54.882718818923301</v>
      </c>
      <c r="I19" s="11">
        <f t="shared" si="21"/>
        <v>9.2546510514094145</v>
      </c>
      <c r="J19" s="15">
        <f t="shared" si="15"/>
        <v>32.929631291353978</v>
      </c>
      <c r="K19" s="14"/>
      <c r="L19" s="14"/>
      <c r="M19" s="11">
        <f t="shared" si="16"/>
        <v>620.53128639140652</v>
      </c>
      <c r="N19" s="13">
        <f t="shared" si="17"/>
        <v>94.317907640000058</v>
      </c>
      <c r="O19" s="11">
        <f t="shared" si="18"/>
        <v>775.66410798925813</v>
      </c>
      <c r="P19" s="13">
        <f t="shared" si="19"/>
        <v>892.01372418764674</v>
      </c>
      <c r="Q19" s="9"/>
      <c r="R19" s="11">
        <f t="shared" si="0"/>
        <v>19292.330758836091</v>
      </c>
      <c r="S19" s="11">
        <f t="shared" si="1"/>
        <v>964.61653794180461</v>
      </c>
      <c r="T19" s="13">
        <f t="shared" si="2"/>
        <v>1157.5398455301654</v>
      </c>
      <c r="U19" s="11">
        <f t="shared" si="3"/>
        <v>1929.2330758836092</v>
      </c>
      <c r="V19" s="14">
        <f t="shared" si="4"/>
        <v>48.64</v>
      </c>
      <c r="W19" s="11">
        <f t="shared" si="20"/>
        <v>39.143195514877348</v>
      </c>
      <c r="X19" s="11">
        <f t="shared" si="5"/>
        <v>20247.450492292774</v>
      </c>
      <c r="Y19" s="13">
        <f t="shared" si="6"/>
        <v>2024.7450492292774</v>
      </c>
      <c r="Z19" s="11">
        <f t="shared" si="7"/>
        <v>19292.330758836091</v>
      </c>
      <c r="AA19" s="15">
        <f t="shared" si="8"/>
        <v>10719.859622421942</v>
      </c>
      <c r="AB19" s="11">
        <f t="shared" si="9"/>
        <v>8572.4711364141494</v>
      </c>
      <c r="AC19">
        <f t="shared" si="10"/>
        <v>0.39092477143965826</v>
      </c>
      <c r="AD19">
        <f t="shared" si="11"/>
        <v>3351.1913196757687</v>
      </c>
    </row>
    <row r="20" spans="2:30" x14ac:dyDescent="0.3">
      <c r="B20" s="9">
        <v>2032</v>
      </c>
      <c r="C20" s="9">
        <v>10</v>
      </c>
      <c r="D20" s="11">
        <f t="shared" si="12"/>
        <v>80.81353467099585</v>
      </c>
      <c r="E20" s="11">
        <f t="shared" si="13"/>
        <v>90.760236163819314</v>
      </c>
      <c r="F20" s="12">
        <f t="shared" si="14"/>
        <v>116.0540825025149</v>
      </c>
      <c r="G20" s="13">
        <f t="shared" si="14"/>
        <v>41.779469700905366</v>
      </c>
      <c r="H20" s="13">
        <f t="shared" si="14"/>
        <v>55.705959601207148</v>
      </c>
      <c r="I20" s="11">
        <f t="shared" si="21"/>
        <v>9.9950231355221675</v>
      </c>
      <c r="J20" s="15">
        <f t="shared" si="15"/>
        <v>33.42357576072429</v>
      </c>
      <c r="K20" s="14"/>
      <c r="L20" s="16">
        <f>600*(1+$E$4)^(C20)</f>
        <v>696.32449501508916</v>
      </c>
      <c r="M20" s="11">
        <f t="shared" si="16"/>
        <v>651.55785071097682</v>
      </c>
      <c r="N20" s="13">
        <f t="shared" si="17"/>
        <v>103.74969840400007</v>
      </c>
      <c r="O20" s="11">
        <f t="shared" si="18"/>
        <v>814.44731338872111</v>
      </c>
      <c r="P20" s="13">
        <f t="shared" si="19"/>
        <v>936.61441039702925</v>
      </c>
      <c r="Q20" s="17">
        <v>200</v>
      </c>
      <c r="R20" s="11">
        <f t="shared" si="0"/>
        <v>21071.799795315656</v>
      </c>
      <c r="S20" s="11">
        <f t="shared" si="1"/>
        <v>1053.5899897657828</v>
      </c>
      <c r="T20" s="13">
        <f t="shared" si="2"/>
        <v>1264.3079877189393</v>
      </c>
      <c r="U20" s="11">
        <f t="shared" si="3"/>
        <v>2107.1799795315656</v>
      </c>
      <c r="V20" s="14">
        <f t="shared" si="4"/>
        <v>48.64</v>
      </c>
      <c r="W20" s="11">
        <f t="shared" si="20"/>
        <v>40.317491380323666</v>
      </c>
      <c r="X20" s="11">
        <f t="shared" si="5"/>
        <v>22117.067276461763</v>
      </c>
      <c r="Y20" s="13">
        <f t="shared" si="6"/>
        <v>2211.7067276461762</v>
      </c>
      <c r="Z20" s="11">
        <f t="shared" si="7"/>
        <v>21071.799795315656</v>
      </c>
      <c r="AA20" s="15">
        <f t="shared" si="8"/>
        <v>11667.422334174938</v>
      </c>
      <c r="AB20" s="11">
        <f t="shared" si="9"/>
        <v>9404.3774611407171</v>
      </c>
      <c r="AC20">
        <f t="shared" si="10"/>
        <v>0.35218447877446685</v>
      </c>
      <c r="AD20">
        <f t="shared" si="11"/>
        <v>3312.0757743501872</v>
      </c>
    </row>
    <row r="21" spans="2:30" x14ac:dyDescent="0.3">
      <c r="B21" s="9">
        <v>2033</v>
      </c>
      <c r="C21" s="9">
        <v>11</v>
      </c>
      <c r="D21" s="11">
        <f t="shared" ref="D21" si="22">D20*(1+5%)</f>
        <v>84.854211404545651</v>
      </c>
      <c r="E21" s="11">
        <f t="shared" ref="E21:E22" si="23">E20*(1+10%)</f>
        <v>99.83625978020126</v>
      </c>
      <c r="F21" s="12">
        <f t="shared" ref="F21:H27" si="24">F20*(1+$E$4)</f>
        <v>117.79489374005261</v>
      </c>
      <c r="G21" s="13">
        <v>36</v>
      </c>
      <c r="H21" s="13">
        <f t="shared" si="24"/>
        <v>56.541548995225249</v>
      </c>
      <c r="I21" s="11">
        <f t="shared" ref="I21:I30" si="25">I20*(1+8%)</f>
        <v>10.794624986363942</v>
      </c>
      <c r="J21" s="15">
        <f t="shared" ref="J21:J30" si="26">H21*60%</f>
        <v>33.924929397135145</v>
      </c>
      <c r="K21" s="9"/>
      <c r="L21" s="9"/>
      <c r="M21" s="11">
        <f t="shared" ref="M21" si="27">M20*(1+5%)</f>
        <v>684.13574324652575</v>
      </c>
      <c r="N21" s="13">
        <f t="shared" ref="N21:N30" si="28">N20*(1+10%)</f>
        <v>114.12466824440008</v>
      </c>
      <c r="O21" s="11">
        <f t="shared" ref="O21:O30" si="29">O20*(1+5%)</f>
        <v>855.16967905815716</v>
      </c>
      <c r="P21" s="13">
        <f t="shared" ref="P21:P30" si="30">O21*(1+15%)</f>
        <v>983.44513091688066</v>
      </c>
      <c r="Q21" s="9"/>
      <c r="R21" s="11">
        <f>(D21*F21)+(E21*F21)+(I21*F21)</f>
        <v>23027.14613123997</v>
      </c>
      <c r="S21" s="11">
        <f t="shared" ref="S21:S30" si="31">5%*R21</f>
        <v>1151.3573065619985</v>
      </c>
      <c r="T21" s="13">
        <f t="shared" ref="T21:T30" si="32">R21*6%</f>
        <v>1381.6287678743981</v>
      </c>
      <c r="U21" s="11">
        <f t="shared" ref="U21:U30" si="33">R21*10%</f>
        <v>2302.714613123997</v>
      </c>
      <c r="V21" s="14">
        <f t="shared" ref="V21:V30" si="34">$Q$3*$Q$4</f>
        <v>48.64</v>
      </c>
      <c r="W21" s="11">
        <f t="shared" ref="W21:W30" si="35">W20*(1+3%)</f>
        <v>41.527016121733375</v>
      </c>
      <c r="X21" s="11">
        <f>R21+S21+W21</f>
        <v>24220.030453923704</v>
      </c>
      <c r="Y21" s="13">
        <f t="shared" ref="Y21:Y30" si="36">X21*10%</f>
        <v>2422.0030453923705</v>
      </c>
      <c r="Z21" s="11">
        <f t="shared" ref="Z21:Z30" si="37">X21</f>
        <v>24220.030453923704</v>
      </c>
      <c r="AA21" s="15">
        <f t="shared" ref="AA21:AA30" si="38">(G21*D21)+(H21*(E21+I21))+K21+P21+T21+V21+Y21+J21</f>
        <v>14179.63507555829</v>
      </c>
      <c r="AB21" s="11">
        <f t="shared" ref="AB21:AB30" si="39">Z21-AA21</f>
        <v>10040.395378365414</v>
      </c>
      <c r="AC21">
        <f t="shared" si="10"/>
        <v>0.31728331421123135</v>
      </c>
      <c r="AD21">
        <f t="shared" si="11"/>
        <v>3185.6499216389088</v>
      </c>
    </row>
    <row r="22" spans="2:30" x14ac:dyDescent="0.3">
      <c r="B22" s="9">
        <v>2034</v>
      </c>
      <c r="C22" s="9">
        <v>12</v>
      </c>
      <c r="D22" s="11">
        <f t="shared" ref="D22:D30" si="40">D21*(1+5%)</f>
        <v>89.09692197477294</v>
      </c>
      <c r="E22" s="11">
        <f t="shared" si="23"/>
        <v>109.81988575822139</v>
      </c>
      <c r="F22" s="12">
        <f t="shared" si="24"/>
        <v>119.56181714615339</v>
      </c>
      <c r="G22" s="13">
        <f t="shared" ref="G22:H30" si="41">G21*(1+$E$4)</f>
        <v>36.54</v>
      </c>
      <c r="H22" s="13">
        <f t="shared" si="24"/>
        <v>57.389672230153622</v>
      </c>
      <c r="I22" s="11">
        <f t="shared" si="25"/>
        <v>11.658194985273058</v>
      </c>
      <c r="J22" s="15">
        <f t="shared" si="26"/>
        <v>34.433803338092169</v>
      </c>
      <c r="K22" s="9"/>
      <c r="L22" s="9"/>
      <c r="M22" s="11">
        <f t="shared" ref="M22" si="42">M21*(1+5%)</f>
        <v>718.3425304088521</v>
      </c>
      <c r="N22" s="13">
        <f t="shared" si="28"/>
        <v>125.5371350688401</v>
      </c>
      <c r="O22" s="11">
        <f t="shared" si="29"/>
        <v>897.92816301106507</v>
      </c>
      <c r="P22" s="13">
        <f t="shared" si="30"/>
        <v>1032.6173874627248</v>
      </c>
      <c r="Q22" s="9"/>
      <c r="R22" s="11">
        <f t="shared" ref="R22:R30" si="43">(D22*F22)+(E22*F22)+(I22*F22)</f>
        <v>25176.729970552238</v>
      </c>
      <c r="S22" s="11">
        <f t="shared" si="31"/>
        <v>1258.8364985276121</v>
      </c>
      <c r="T22" s="13">
        <f t="shared" si="32"/>
        <v>1510.6037982331343</v>
      </c>
      <c r="U22" s="11">
        <f t="shared" si="33"/>
        <v>2517.6729970552242</v>
      </c>
      <c r="V22" s="14">
        <f t="shared" si="34"/>
        <v>48.64</v>
      </c>
      <c r="W22" s="11">
        <f t="shared" si="35"/>
        <v>42.772826605385376</v>
      </c>
      <c r="X22" s="11">
        <f t="shared" ref="X22:X30" si="44">R22+S22+W22</f>
        <v>26478.339295685237</v>
      </c>
      <c r="Y22" s="13">
        <f t="shared" si="36"/>
        <v>2647.8339295685237</v>
      </c>
      <c r="Z22" s="11">
        <f t="shared" si="37"/>
        <v>26478.339295685237</v>
      </c>
      <c r="AA22" s="15">
        <f t="shared" si="38"/>
        <v>15501.31768457796</v>
      </c>
      <c r="AB22" s="11">
        <f t="shared" si="39"/>
        <v>10977.021611107277</v>
      </c>
      <c r="AC22">
        <f t="shared" si="10"/>
        <v>0.28584082361372193</v>
      </c>
      <c r="AD22">
        <f t="shared" si="11"/>
        <v>3137.6808981445288</v>
      </c>
    </row>
    <row r="23" spans="2:30" x14ac:dyDescent="0.3">
      <c r="B23" s="9">
        <v>2035</v>
      </c>
      <c r="C23" s="9">
        <v>13</v>
      </c>
      <c r="D23" s="11">
        <f t="shared" si="40"/>
        <v>93.551768073511596</v>
      </c>
      <c r="E23" s="11">
        <f t="shared" ref="E23:E30" si="45">E22*(1+10%)</f>
        <v>120.80187433404353</v>
      </c>
      <c r="F23" s="12">
        <f t="shared" si="24"/>
        <v>121.35524440334568</v>
      </c>
      <c r="G23" s="13">
        <f t="shared" si="41"/>
        <v>37.088099999999997</v>
      </c>
      <c r="H23" s="13">
        <f t="shared" si="24"/>
        <v>58.250517313605918</v>
      </c>
      <c r="I23" s="11">
        <f t="shared" si="25"/>
        <v>12.590850584094904</v>
      </c>
      <c r="J23" s="15">
        <f t="shared" si="26"/>
        <v>34.950310388163551</v>
      </c>
      <c r="K23" s="9"/>
      <c r="L23" s="9"/>
      <c r="M23" s="11">
        <f t="shared" ref="M23" si="46">M22*(1+5%)</f>
        <v>754.25965692929469</v>
      </c>
      <c r="N23" s="13">
        <f t="shared" si="28"/>
        <v>138.09084857572412</v>
      </c>
      <c r="O23" s="11">
        <f t="shared" si="29"/>
        <v>942.82457116161834</v>
      </c>
      <c r="P23" s="13">
        <f t="shared" si="30"/>
        <v>1084.248256835861</v>
      </c>
      <c r="Q23" s="9"/>
      <c r="R23" s="11">
        <f t="shared" si="43"/>
        <v>27540.90441299506</v>
      </c>
      <c r="S23" s="11">
        <f t="shared" si="31"/>
        <v>1377.045220649753</v>
      </c>
      <c r="T23" s="13">
        <f t="shared" si="32"/>
        <v>1652.4542647797036</v>
      </c>
      <c r="U23" s="11">
        <f t="shared" si="33"/>
        <v>2754.090441299506</v>
      </c>
      <c r="V23" s="14">
        <f t="shared" si="34"/>
        <v>48.64</v>
      </c>
      <c r="W23" s="11">
        <f t="shared" si="35"/>
        <v>44.05601140354694</v>
      </c>
      <c r="X23" s="11">
        <f t="shared" si="44"/>
        <v>28962.005645048361</v>
      </c>
      <c r="Y23" s="13">
        <f t="shared" si="36"/>
        <v>2896.2005645048362</v>
      </c>
      <c r="Z23" s="11">
        <f t="shared" si="37"/>
        <v>28962.005645048361</v>
      </c>
      <c r="AA23" s="15">
        <f t="shared" si="38"/>
        <v>16956.345958348866</v>
      </c>
      <c r="AB23" s="11">
        <f t="shared" si="39"/>
        <v>12005.659686699495</v>
      </c>
      <c r="AC23">
        <f t="shared" si="10"/>
        <v>0.25751425550785756</v>
      </c>
      <c r="AD23">
        <f t="shared" si="11"/>
        <v>3091.6285161011187</v>
      </c>
    </row>
    <row r="24" spans="2:30" x14ac:dyDescent="0.3">
      <c r="B24" s="9">
        <v>2036</v>
      </c>
      <c r="C24" s="9">
        <v>14</v>
      </c>
      <c r="D24" s="11">
        <f t="shared" si="40"/>
        <v>98.229356477187181</v>
      </c>
      <c r="E24" s="11">
        <f t="shared" si="45"/>
        <v>132.88206176744791</v>
      </c>
      <c r="F24" s="12">
        <f t="shared" si="24"/>
        <v>123.17557306939585</v>
      </c>
      <c r="G24" s="13">
        <f t="shared" si="41"/>
        <v>37.644421499999993</v>
      </c>
      <c r="H24" s="13">
        <f t="shared" si="24"/>
        <v>59.124275073310002</v>
      </c>
      <c r="I24" s="11">
        <f t="shared" si="25"/>
        <v>13.598118630822498</v>
      </c>
      <c r="J24" s="15">
        <f t="shared" si="26"/>
        <v>35.474565043985997</v>
      </c>
      <c r="K24" s="9"/>
      <c r="L24" s="9"/>
      <c r="M24" s="11">
        <f t="shared" ref="M24" si="47">M23*(1+5%)</f>
        <v>791.97263977575949</v>
      </c>
      <c r="N24" s="13">
        <f t="shared" si="28"/>
        <v>151.89993343329655</v>
      </c>
      <c r="O24" s="11">
        <f t="shared" si="29"/>
        <v>989.96579971969925</v>
      </c>
      <c r="P24" s="13">
        <f t="shared" si="30"/>
        <v>1138.4606696776541</v>
      </c>
      <c r="Q24" s="9"/>
      <c r="R24" s="11">
        <f t="shared" si="43"/>
        <v>30142.237440180943</v>
      </c>
      <c r="S24" s="11">
        <f t="shared" si="31"/>
        <v>1507.1118720090471</v>
      </c>
      <c r="T24" s="13">
        <f t="shared" si="32"/>
        <v>1808.5342464108564</v>
      </c>
      <c r="U24" s="11">
        <f t="shared" si="33"/>
        <v>3014.2237440180943</v>
      </c>
      <c r="V24" s="14">
        <f t="shared" si="34"/>
        <v>48.64</v>
      </c>
      <c r="W24" s="11">
        <f t="shared" si="35"/>
        <v>45.377691745653351</v>
      </c>
      <c r="X24" s="11">
        <f t="shared" si="44"/>
        <v>31694.727003935641</v>
      </c>
      <c r="Y24" s="13">
        <f t="shared" si="36"/>
        <v>3169.4727003935641</v>
      </c>
      <c r="Z24" s="11">
        <f t="shared" si="37"/>
        <v>31694.727003935641</v>
      </c>
      <c r="AA24" s="15">
        <f t="shared" si="38"/>
        <v>18558.903959082461</v>
      </c>
      <c r="AB24" s="11">
        <f t="shared" si="39"/>
        <v>13135.823044853179</v>
      </c>
      <c r="AC24">
        <f t="shared" si="10"/>
        <v>0.23199482478185365</v>
      </c>
      <c r="AD24">
        <f t="shared" si="11"/>
        <v>3047.4429656561488</v>
      </c>
    </row>
    <row r="25" spans="2:30" x14ac:dyDescent="0.3">
      <c r="B25" s="9">
        <v>2037</v>
      </c>
      <c r="C25" s="9">
        <v>15</v>
      </c>
      <c r="D25" s="11">
        <f t="shared" si="40"/>
        <v>103.14082430104655</v>
      </c>
      <c r="E25" s="11">
        <f t="shared" si="45"/>
        <v>146.17026794419272</v>
      </c>
      <c r="F25" s="12">
        <f t="shared" si="24"/>
        <v>125.02320666543677</v>
      </c>
      <c r="G25" s="13">
        <f t="shared" si="41"/>
        <v>38.209087822499988</v>
      </c>
      <c r="H25" s="13">
        <f t="shared" si="24"/>
        <v>60.011139199409648</v>
      </c>
      <c r="I25" s="11">
        <f t="shared" si="25"/>
        <v>14.685968121288299</v>
      </c>
      <c r="J25" s="15">
        <f t="shared" si="26"/>
        <v>36.00668351964579</v>
      </c>
      <c r="K25" s="9"/>
      <c r="L25" s="9"/>
      <c r="M25" s="11">
        <f t="shared" ref="M25" si="48">M24*(1+5%)</f>
        <v>831.57127176454753</v>
      </c>
      <c r="N25" s="13">
        <f t="shared" si="28"/>
        <v>167.08992677662621</v>
      </c>
      <c r="O25" s="11">
        <f t="shared" si="29"/>
        <v>1039.4640897056843</v>
      </c>
      <c r="P25" s="13">
        <f t="shared" si="30"/>
        <v>1195.3837031615369</v>
      </c>
      <c r="Q25" s="9"/>
      <c r="R25" s="11">
        <f t="shared" si="43"/>
        <v>33005.759037272161</v>
      </c>
      <c r="S25" s="11">
        <f t="shared" si="31"/>
        <v>1650.2879518636082</v>
      </c>
      <c r="T25" s="13">
        <f t="shared" si="32"/>
        <v>1980.3455422363295</v>
      </c>
      <c r="U25" s="11">
        <f t="shared" si="33"/>
        <v>3300.5759037272164</v>
      </c>
      <c r="V25" s="14">
        <f t="shared" si="34"/>
        <v>48.64</v>
      </c>
      <c r="W25" s="11">
        <f t="shared" si="35"/>
        <v>46.739022498022955</v>
      </c>
      <c r="X25" s="11">
        <f t="shared" si="44"/>
        <v>34702.786011633798</v>
      </c>
      <c r="Y25" s="13">
        <f t="shared" si="36"/>
        <v>3470.2786011633798</v>
      </c>
      <c r="Z25" s="11">
        <f t="shared" si="37"/>
        <v>34702.786011633798</v>
      </c>
      <c r="AA25" s="15">
        <f t="shared" si="38"/>
        <v>20324.737317503299</v>
      </c>
      <c r="AB25" s="11">
        <f t="shared" si="39"/>
        <v>14378.048694130499</v>
      </c>
      <c r="AC25">
        <f t="shared" si="10"/>
        <v>0.20900434665031858</v>
      </c>
      <c r="AD25">
        <f t="shared" si="11"/>
        <v>3005.0746734232112</v>
      </c>
    </row>
    <row r="26" spans="2:30" x14ac:dyDescent="0.3">
      <c r="B26" s="9">
        <v>2038</v>
      </c>
      <c r="C26" s="9">
        <v>16</v>
      </c>
      <c r="D26" s="11">
        <f t="shared" si="40"/>
        <v>108.29786551609888</v>
      </c>
      <c r="E26" s="11">
        <f t="shared" si="45"/>
        <v>160.78729473861199</v>
      </c>
      <c r="F26" s="12">
        <f t="shared" si="24"/>
        <v>126.89855476541831</v>
      </c>
      <c r="G26" s="13">
        <f t="shared" si="41"/>
        <v>38.782224139837481</v>
      </c>
      <c r="H26" s="13">
        <f t="shared" si="24"/>
        <v>60.911306287400784</v>
      </c>
      <c r="I26" s="11">
        <f t="shared" si="25"/>
        <v>15.860845570991364</v>
      </c>
      <c r="J26" s="15">
        <f t="shared" si="26"/>
        <v>36.54678377244047</v>
      </c>
      <c r="K26" s="9"/>
      <c r="L26" s="9"/>
      <c r="M26" s="11">
        <f t="shared" ref="M26" si="49">M25*(1+5%)</f>
        <v>873.14983535277497</v>
      </c>
      <c r="N26" s="13">
        <f t="shared" si="28"/>
        <v>183.79891945428886</v>
      </c>
      <c r="O26" s="11">
        <f t="shared" si="29"/>
        <v>1091.4372941909685</v>
      </c>
      <c r="P26" s="13">
        <f t="shared" si="30"/>
        <v>1255.1528883196136</v>
      </c>
      <c r="Q26" s="9"/>
      <c r="R26" s="11">
        <f t="shared" si="43"/>
        <v>36159.236325460079</v>
      </c>
      <c r="S26" s="11">
        <f t="shared" si="31"/>
        <v>1807.9618162730039</v>
      </c>
      <c r="T26" s="13">
        <f t="shared" si="32"/>
        <v>2169.5541795276044</v>
      </c>
      <c r="U26" s="11">
        <f t="shared" si="33"/>
        <v>3615.9236325460079</v>
      </c>
      <c r="V26" s="14">
        <f t="shared" si="34"/>
        <v>48.64</v>
      </c>
      <c r="W26" s="11">
        <f t="shared" si="35"/>
        <v>48.141193172963646</v>
      </c>
      <c r="X26" s="11">
        <f t="shared" si="44"/>
        <v>38015.33933490605</v>
      </c>
      <c r="Y26" s="13">
        <f t="shared" si="36"/>
        <v>3801.5339334906052</v>
      </c>
      <c r="Z26" s="11">
        <f t="shared" si="37"/>
        <v>38015.33933490605</v>
      </c>
      <c r="AA26" s="15">
        <f t="shared" si="38"/>
        <v>22271.328858919584</v>
      </c>
      <c r="AB26" s="11">
        <f t="shared" si="39"/>
        <v>15744.010475986466</v>
      </c>
      <c r="AC26">
        <f t="shared" si="10"/>
        <v>0.18829220418947618</v>
      </c>
      <c r="AD26">
        <f t="shared" si="11"/>
        <v>2964.4744353056958</v>
      </c>
    </row>
    <row r="27" spans="2:30" x14ac:dyDescent="0.3">
      <c r="B27" s="9">
        <v>2039</v>
      </c>
      <c r="C27" s="9">
        <v>17</v>
      </c>
      <c r="D27" s="11">
        <f t="shared" si="40"/>
        <v>113.71275879190382</v>
      </c>
      <c r="E27" s="11">
        <f t="shared" si="45"/>
        <v>176.86602421247321</v>
      </c>
      <c r="F27" s="12">
        <f t="shared" si="24"/>
        <v>128.80203308689957</v>
      </c>
      <c r="G27" s="13">
        <f t="shared" si="41"/>
        <v>39.36395750193504</v>
      </c>
      <c r="H27" s="13">
        <f t="shared" si="24"/>
        <v>61.824975881711786</v>
      </c>
      <c r="I27" s="11">
        <f t="shared" si="25"/>
        <v>17.129713216670673</v>
      </c>
      <c r="J27" s="15">
        <f t="shared" si="26"/>
        <v>37.09498552902707</v>
      </c>
      <c r="K27" s="9"/>
      <c r="L27" s="9"/>
      <c r="M27" s="11">
        <f t="shared" ref="M27" si="50">M26*(1+5%)</f>
        <v>916.80732712041379</v>
      </c>
      <c r="N27" s="13">
        <f t="shared" si="28"/>
        <v>202.17881139971777</v>
      </c>
      <c r="O27" s="11">
        <f t="shared" si="29"/>
        <v>1146.0091589005169</v>
      </c>
      <c r="P27" s="13">
        <f t="shared" si="30"/>
        <v>1317.9105327355944</v>
      </c>
      <c r="Q27" s="9"/>
      <c r="R27" s="11">
        <f t="shared" si="43"/>
        <v>39633.479911383503</v>
      </c>
      <c r="S27" s="11">
        <f t="shared" si="31"/>
        <v>1981.6739955691753</v>
      </c>
      <c r="T27" s="13">
        <f t="shared" si="32"/>
        <v>2378.0087946830099</v>
      </c>
      <c r="U27" s="11">
        <f t="shared" si="33"/>
        <v>3963.3479911383506</v>
      </c>
      <c r="V27" s="14">
        <f t="shared" si="34"/>
        <v>48.64</v>
      </c>
      <c r="W27" s="11">
        <f t="shared" si="35"/>
        <v>49.585428968152556</v>
      </c>
      <c r="X27" s="11">
        <f t="shared" si="44"/>
        <v>41664.739335920829</v>
      </c>
      <c r="Y27" s="13">
        <f t="shared" si="36"/>
        <v>4166.4739335920831</v>
      </c>
      <c r="Z27" s="11">
        <f t="shared" si="37"/>
        <v>41664.739335920829</v>
      </c>
      <c r="AA27" s="15">
        <f t="shared" si="38"/>
        <v>24418.094238763715</v>
      </c>
      <c r="AB27" s="11">
        <f t="shared" si="39"/>
        <v>17246.645097157114</v>
      </c>
      <c r="AC27">
        <f t="shared" si="10"/>
        <v>0.16963261638691546</v>
      </c>
      <c r="AD27">
        <f t="shared" si="11"/>
        <v>2925.5935317273288</v>
      </c>
    </row>
    <row r="28" spans="2:30" x14ac:dyDescent="0.3">
      <c r="B28" s="9">
        <v>2040</v>
      </c>
      <c r="C28" s="9">
        <v>18</v>
      </c>
      <c r="D28" s="11">
        <f t="shared" si="40"/>
        <v>119.39839673149902</v>
      </c>
      <c r="E28" s="11">
        <f t="shared" si="45"/>
        <v>194.55262663372054</v>
      </c>
      <c r="F28" s="12">
        <f t="shared" ref="F28:F30" si="51">F27*(1+$E$4)</f>
        <v>130.73406358320304</v>
      </c>
      <c r="G28" s="13">
        <f t="shared" si="41"/>
        <v>39.954416864464065</v>
      </c>
      <c r="H28" s="13">
        <f t="shared" si="41"/>
        <v>62.752350519937458</v>
      </c>
      <c r="I28" s="11">
        <f t="shared" si="25"/>
        <v>18.500090274004329</v>
      </c>
      <c r="J28" s="15">
        <f t="shared" si="26"/>
        <v>37.651410311962472</v>
      </c>
      <c r="K28" s="9"/>
      <c r="L28" s="9"/>
      <c r="M28" s="11">
        <f t="shared" ref="M28" si="52">M27*(1+5%)</f>
        <v>962.64769347643448</v>
      </c>
      <c r="N28" s="13">
        <f t="shared" si="28"/>
        <v>222.39669253968958</v>
      </c>
      <c r="O28" s="11">
        <f t="shared" si="29"/>
        <v>1203.3096168455429</v>
      </c>
      <c r="P28" s="13">
        <f t="shared" si="30"/>
        <v>1383.8060593723742</v>
      </c>
      <c r="Q28" s="9"/>
      <c r="R28" s="11">
        <f t="shared" si="43"/>
        <v>43462.685028816959</v>
      </c>
      <c r="S28" s="11">
        <f t="shared" si="31"/>
        <v>2173.1342514408479</v>
      </c>
      <c r="T28" s="13">
        <f t="shared" si="32"/>
        <v>2607.7611017290174</v>
      </c>
      <c r="U28" s="11">
        <f t="shared" si="33"/>
        <v>4346.2685028816959</v>
      </c>
      <c r="V28" s="14">
        <f t="shared" si="34"/>
        <v>48.64</v>
      </c>
      <c r="W28" s="11">
        <f t="shared" si="35"/>
        <v>51.072991837197137</v>
      </c>
      <c r="X28" s="11">
        <f t="shared" si="44"/>
        <v>45686.892272094999</v>
      </c>
      <c r="Y28" s="13">
        <f t="shared" si="36"/>
        <v>4568.6892272095001</v>
      </c>
      <c r="Z28" s="11">
        <f t="shared" si="37"/>
        <v>45686.892272094999</v>
      </c>
      <c r="AA28" s="15">
        <f t="shared" si="38"/>
        <v>26786.599885200387</v>
      </c>
      <c r="AB28" s="11">
        <f t="shared" si="39"/>
        <v>18900.292386894613</v>
      </c>
      <c r="AC28">
        <f t="shared" si="10"/>
        <v>0.15282217692514904</v>
      </c>
      <c r="AD28">
        <f t="shared" si="11"/>
        <v>2888.383827087056</v>
      </c>
    </row>
    <row r="29" spans="2:30" x14ac:dyDescent="0.3">
      <c r="B29" s="9">
        <v>2041</v>
      </c>
      <c r="C29" s="9">
        <v>19</v>
      </c>
      <c r="D29" s="11">
        <f t="shared" si="40"/>
        <v>125.36831656807398</v>
      </c>
      <c r="E29" s="11">
        <f t="shared" si="45"/>
        <v>214.00788929709262</v>
      </c>
      <c r="F29" s="12">
        <f t="shared" si="51"/>
        <v>132.69507453695107</v>
      </c>
      <c r="G29" s="13">
        <f t="shared" si="41"/>
        <v>40.553733117431022</v>
      </c>
      <c r="H29" s="13">
        <f t="shared" si="41"/>
        <v>63.693635777736517</v>
      </c>
      <c r="I29" s="11">
        <f t="shared" si="25"/>
        <v>19.980097495924678</v>
      </c>
      <c r="J29" s="15">
        <f t="shared" si="26"/>
        <v>38.216181466641906</v>
      </c>
      <c r="K29" s="9"/>
      <c r="L29" s="9"/>
      <c r="M29" s="11">
        <f t="shared" ref="M29" si="53">M28*(1+5%)</f>
        <v>1010.7800781502563</v>
      </c>
      <c r="N29" s="13">
        <f t="shared" si="28"/>
        <v>244.63636179365855</v>
      </c>
      <c r="O29" s="11">
        <f t="shared" si="29"/>
        <v>1263.4750976878202</v>
      </c>
      <c r="P29" s="13">
        <f t="shared" si="30"/>
        <v>1452.9963623409931</v>
      </c>
      <c r="Q29" s="9"/>
      <c r="R29" s="11">
        <f t="shared" si="43"/>
        <v>47684.811459823206</v>
      </c>
      <c r="S29" s="11">
        <f t="shared" si="31"/>
        <v>2384.2405729911602</v>
      </c>
      <c r="T29" s="13">
        <f t="shared" si="32"/>
        <v>2861.0886875893921</v>
      </c>
      <c r="U29" s="11">
        <f t="shared" si="33"/>
        <v>4768.4811459823204</v>
      </c>
      <c r="V29" s="14">
        <f t="shared" si="34"/>
        <v>48.64</v>
      </c>
      <c r="W29" s="11">
        <f t="shared" si="35"/>
        <v>52.605181592313052</v>
      </c>
      <c r="X29" s="11">
        <f t="shared" si="44"/>
        <v>50121.657214406681</v>
      </c>
      <c r="Y29" s="13">
        <f t="shared" si="36"/>
        <v>5012.1657214406687</v>
      </c>
      <c r="Z29" s="11">
        <f t="shared" si="37"/>
        <v>50121.657214406681</v>
      </c>
      <c r="AA29" s="15">
        <f t="shared" si="38"/>
        <v>29400.805811481241</v>
      </c>
      <c r="AB29" s="11">
        <f t="shared" si="39"/>
        <v>20720.85140292544</v>
      </c>
      <c r="AC29">
        <f t="shared" si="10"/>
        <v>0.13767763686950363</v>
      </c>
      <c r="AD29">
        <f t="shared" si="11"/>
        <v>2852.7978550789135</v>
      </c>
    </row>
    <row r="30" spans="2:30" x14ac:dyDescent="0.3">
      <c r="B30" s="9">
        <v>2042</v>
      </c>
      <c r="C30" s="9">
        <v>20</v>
      </c>
      <c r="D30" s="11">
        <f t="shared" si="40"/>
        <v>131.6367323964777</v>
      </c>
      <c r="E30" s="11">
        <f t="shared" si="45"/>
        <v>235.4086782268019</v>
      </c>
      <c r="F30" s="12">
        <f t="shared" si="51"/>
        <v>134.68550065500531</v>
      </c>
      <c r="G30" s="13">
        <f t="shared" si="41"/>
        <v>41.162039114192481</v>
      </c>
      <c r="H30" s="13">
        <f t="shared" si="41"/>
        <v>64.649040314402555</v>
      </c>
      <c r="I30" s="11">
        <f t="shared" si="25"/>
        <v>21.578505295598653</v>
      </c>
      <c r="J30" s="15">
        <f t="shared" si="26"/>
        <v>38.789424188641533</v>
      </c>
      <c r="K30" s="9"/>
      <c r="L30" s="9"/>
      <c r="M30" s="11">
        <f t="shared" ref="M30" si="54">M29*(1+5%)</f>
        <v>1061.319082057769</v>
      </c>
      <c r="N30" s="13">
        <f t="shared" si="28"/>
        <v>269.09999797302441</v>
      </c>
      <c r="O30" s="11">
        <f t="shared" si="29"/>
        <v>1326.6488525722111</v>
      </c>
      <c r="P30" s="13">
        <f t="shared" si="30"/>
        <v>1525.6461804580426</v>
      </c>
      <c r="Q30" s="9"/>
      <c r="R30" s="11">
        <f t="shared" si="43"/>
        <v>52342.006682042804</v>
      </c>
      <c r="S30" s="11">
        <f t="shared" si="31"/>
        <v>2617.1003341021406</v>
      </c>
      <c r="T30" s="13">
        <f t="shared" si="32"/>
        <v>3140.5204009225681</v>
      </c>
      <c r="U30" s="11">
        <f t="shared" si="33"/>
        <v>5234.2006682042811</v>
      </c>
      <c r="V30" s="14">
        <f t="shared" si="34"/>
        <v>48.64</v>
      </c>
      <c r="W30" s="11">
        <f t="shared" si="35"/>
        <v>54.183337040082442</v>
      </c>
      <c r="X30" s="11">
        <f t="shared" si="44"/>
        <v>55013.290353185032</v>
      </c>
      <c r="Y30" s="13">
        <f t="shared" si="36"/>
        <v>5501.3290353185039</v>
      </c>
      <c r="Z30" s="11">
        <f t="shared" si="37"/>
        <v>55013.290353185032</v>
      </c>
      <c r="AA30" s="15">
        <f t="shared" si="38"/>
        <v>32287.336156480498</v>
      </c>
      <c r="AB30" s="11">
        <f t="shared" si="39"/>
        <v>22725.954196704533</v>
      </c>
      <c r="AC30">
        <f t="shared" si="10"/>
        <v>0.1240339070896429</v>
      </c>
      <c r="AD30">
        <f t="shared" si="11"/>
        <v>2818.7888913575302</v>
      </c>
    </row>
    <row r="31" spans="2:30" x14ac:dyDescent="0.3">
      <c r="B31" s="5"/>
      <c r="C31" s="5"/>
      <c r="D31" s="6"/>
      <c r="E31" s="6"/>
      <c r="F31" s="7"/>
      <c r="G31" s="8"/>
      <c r="H31" s="8"/>
      <c r="X31" s="6"/>
    </row>
    <row r="32" spans="2:30" x14ac:dyDescent="0.3">
      <c r="B32" s="5"/>
      <c r="C32" s="5"/>
      <c r="D32" s="6"/>
      <c r="E32" s="6"/>
      <c r="F32" s="7"/>
      <c r="G32" s="8"/>
      <c r="H32" s="8"/>
    </row>
    <row r="33" spans="2:30" x14ac:dyDescent="0.3">
      <c r="B33" s="5"/>
      <c r="C33" s="5"/>
      <c r="D33" s="6"/>
      <c r="E33" s="6"/>
      <c r="F33" s="7"/>
      <c r="G33" s="8"/>
      <c r="H33" s="8"/>
      <c r="AC33" t="s">
        <v>44</v>
      </c>
      <c r="AD33">
        <f>SUM(AD10:AD30)</f>
        <v>66933.128764040055</v>
      </c>
    </row>
    <row r="34" spans="2:30" x14ac:dyDescent="0.3">
      <c r="B34" s="5"/>
      <c r="C34" s="5"/>
      <c r="D34" s="6"/>
      <c r="E34" s="6"/>
      <c r="F34" s="7"/>
      <c r="G34" s="8"/>
      <c r="H34" s="8"/>
    </row>
    <row r="35" spans="2:30" x14ac:dyDescent="0.3">
      <c r="B35" s="5"/>
      <c r="C35" s="5"/>
      <c r="D35" s="6"/>
      <c r="E35" s="6"/>
      <c r="F35" s="7"/>
      <c r="G35" s="8"/>
      <c r="H35" s="8"/>
    </row>
    <row r="36" spans="2:30" x14ac:dyDescent="0.3">
      <c r="B36" s="5"/>
      <c r="C36" s="5"/>
      <c r="D36" s="6"/>
      <c r="E36" s="6"/>
      <c r="F36" s="7"/>
      <c r="G36" s="8"/>
      <c r="H36" s="8"/>
    </row>
    <row r="37" spans="2:30" x14ac:dyDescent="0.3">
      <c r="B37" s="5"/>
      <c r="C37" s="5"/>
      <c r="D37" s="6"/>
      <c r="E37" s="6"/>
      <c r="F37" s="7"/>
      <c r="G37" s="8"/>
      <c r="H37" s="8"/>
    </row>
    <row r="38" spans="2:30" x14ac:dyDescent="0.3">
      <c r="B38" s="5"/>
      <c r="C38" s="5"/>
      <c r="D38" s="6"/>
      <c r="E38" s="6"/>
      <c r="F38" s="7"/>
      <c r="G38" s="8"/>
      <c r="H38" s="8"/>
    </row>
  </sheetData>
  <mergeCells count="7">
    <mergeCell ref="Z8:AB8"/>
    <mergeCell ref="G2:H2"/>
    <mergeCell ref="K5:L5"/>
    <mergeCell ref="D8:E8"/>
    <mergeCell ref="G8:H8"/>
    <mergeCell ref="M8:N8"/>
    <mergeCell ref="O8:P8"/>
  </mergeCells>
  <pageMargins left="0.7" right="0.7" top="0.75" bottom="0.75" header="0.3" footer="0.3"/>
  <ignoredErrors>
    <ignoredError sqref="N11:N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Q1</vt:lpstr>
      <vt:lpstr>Q2</vt:lpstr>
      <vt:lpstr>Q3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dbsld</dc:creator>
  <cp:lastModifiedBy>dbslds@gmail.com</cp:lastModifiedBy>
  <dcterms:created xsi:type="dcterms:W3CDTF">2022-02-14T15:22:41Z</dcterms:created>
  <dcterms:modified xsi:type="dcterms:W3CDTF">2022-02-20T17:31:55Z</dcterms:modified>
</cp:coreProperties>
</file>